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https://richmondandwandsworth-my.sharepoint.com/personal/beatriz_moreno_richmondandwandsworth_gov_uk/Documents/Desktop/"/>
    </mc:Choice>
  </mc:AlternateContent>
  <xr:revisionPtr revIDLastSave="0" documentId="8_{949979FD-33CA-47F2-A885-06B8EE02C8DA}" xr6:coauthVersionLast="47" xr6:coauthVersionMax="47" xr10:uidLastSave="{00000000-0000-0000-0000-000000000000}"/>
  <workbookProtection workbookAlgorithmName="SHA-512" workbookHashValue="SQ9oqw117+i7M2ATQc+yqxD1PCM5Mxc9voVa9f/vRQ+MidcUZ8cN0GPk8VK4qCj28tdAiWuUk4MjuxMV1EMqYw==" workbookSaltValue="F86EfRRG9QQ6508zS5aosg==" workbookSpinCount="100000" lockStructure="1"/>
  <bookViews>
    <workbookView xWindow="-108" yWindow="-108" windowWidth="23256" windowHeight="12576" xr2:uid="{99FFF8D4-CFE0-4752-A700-AB2D6E787DA2}"/>
  </bookViews>
  <sheets>
    <sheet name="Contents" sheetId="1" r:id="rId1"/>
    <sheet name="Instructions" sheetId="9" r:id="rId2"/>
    <sheet name="Application Details" sheetId="2" r:id="rId3"/>
    <sheet name="Development Details" sheetId="3" r:id="rId4"/>
    <sheet name="A" sheetId="28" r:id="rId5"/>
    <sheet name="B" sheetId="8" r:id="rId6"/>
    <sheet name="C" sheetId="13" r:id="rId7"/>
    <sheet name="D" sheetId="15" r:id="rId8"/>
    <sheet name="E" sheetId="16" r:id="rId9"/>
    <sheet name="F" sheetId="17" r:id="rId10"/>
    <sheet name="G" sheetId="29" r:id="rId11"/>
    <sheet name="H" sheetId="30" r:id="rId12"/>
    <sheet name="I" sheetId="27" r:id="rId13"/>
    <sheet name="J" sheetId="31" r:id="rId14"/>
    <sheet name="K" sheetId="5" r:id="rId15"/>
    <sheet name="Requirements Summary" sheetId="33" r:id="rId16"/>
    <sheet name="Lookup Development Size" sheetId="6" state="hidden" r:id="rId17"/>
    <sheet name="Lookup Predominant Use" sheetId="11" state="hidden" r:id="rId18"/>
    <sheet name="Lookup Yes and No" sheetId="12" state="hidden" r:id="rId19"/>
    <sheet name="Population Development Matrix" sheetId="20" state="hidden" r:id="rId20"/>
    <sheet name="Population Yield" sheetId="21" state="hidden" r:id="rId21"/>
    <sheet name="Population 2004 Yield" sheetId="22" state="hidden" r:id="rId22"/>
    <sheet name="Population 2007 Yield" sheetId="23" state="hidden" r:id="rId23"/>
    <sheet name="Standard Messages" sheetId="32" state="hidden" r:id="rId24"/>
  </sheets>
  <definedNames>
    <definedName name="Inputs_still_required">'Standard Messages'!$B$2</definedName>
    <definedName name="No_requirement">'Standard Messages'!$B$3</definedName>
    <definedName name="No_requirement_in_document">'Standard Messages'!$B$5</definedName>
    <definedName name="Not_included_in_calculator">'Standard Messages'!$B$4</definedName>
    <definedName name="Not_included_in_summary">'Standard Messages'!$B$6</definedName>
    <definedName name="_xlnm.Print_Area" localSheetId="4">A!$B$2:$P$23</definedName>
    <definedName name="_xlnm.Print_Area" localSheetId="2">'Application Details'!$B$2:$E$14</definedName>
    <definedName name="_xlnm.Print_Area" localSheetId="5">B!$B$2:$P$44</definedName>
    <definedName name="_xlnm.Print_Area" localSheetId="6">'C'!$B$2:$P$31</definedName>
    <definedName name="_xlnm.Print_Area" localSheetId="0">Contents!$B$2:$Q$55</definedName>
    <definedName name="_xlnm.Print_Area" localSheetId="7">D!$B$2:$P$34</definedName>
    <definedName name="_xlnm.Print_Area" localSheetId="3">'Development Details'!$B$2:$P$110</definedName>
    <definedName name="_xlnm.Print_Area" localSheetId="8">E!$B$2:$P$49</definedName>
    <definedName name="_xlnm.Print_Area" localSheetId="9">F!$B$2:$P$79</definedName>
    <definedName name="_xlnm.Print_Area" localSheetId="10">G!$B$2:$P$42</definedName>
    <definedName name="_xlnm.Print_Area" localSheetId="11">H!$B$2:$P$38</definedName>
    <definedName name="_xlnm.Print_Area" localSheetId="12">I!$B$2:$P$50</definedName>
    <definedName name="_xlnm.Print_Area" localSheetId="1">Instructions!$B$2:$Q$37</definedName>
    <definedName name="_xlnm.Print_Area" localSheetId="13">J!$B$2:$P$18</definedName>
    <definedName name="_xlnm.Print_Area" localSheetId="14">K!$B$2:$P$66</definedName>
    <definedName name="_xlnm.Print_Area" localSheetId="19">'Population Development Matrix'!$A$1:$J$26</definedName>
    <definedName name="_xlnm.Print_Area" localSheetId="20">'Population Yield'!$A$1:$M$28</definedName>
    <definedName name="_xlnm.Print_Area" localSheetId="15">'Requirements Summary'!$B$2:$Q$51</definedName>
    <definedName name="_xlnm.Print_Titles" localSheetId="0">Contents!$15:$15</definedName>
    <definedName name="_xlnm.Print_Titles" localSheetId="15">'Requirements Summary'!$5:$6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5" l="1"/>
  <c r="D27" i="5" s="1"/>
  <c r="E59" i="3" l="1"/>
  <c r="K19" i="33" l="1"/>
  <c r="C24" i="13"/>
  <c r="E24" i="13" s="1"/>
  <c r="I39" i="33" l="1"/>
  <c r="C23" i="30" l="1"/>
  <c r="C72" i="17"/>
  <c r="G9" i="13"/>
  <c r="E72" i="17" l="1"/>
  <c r="I35" i="33"/>
  <c r="K35" i="33" s="1"/>
  <c r="C76" i="17"/>
  <c r="I93" i="3"/>
  <c r="H77" i="3"/>
  <c r="E71" i="3"/>
  <c r="B3" i="32" l="1"/>
  <c r="I41" i="33" l="1"/>
  <c r="I40" i="33"/>
  <c r="F14" i="31"/>
  <c r="G7" i="31"/>
  <c r="C35" i="30"/>
  <c r="C29" i="30"/>
  <c r="E19" i="27" l="1"/>
  <c r="E14" i="27"/>
  <c r="K46" i="33"/>
  <c r="K14" i="33"/>
  <c r="K9" i="33"/>
  <c r="K8" i="33"/>
  <c r="M34" i="3"/>
  <c r="K7" i="33" l="1"/>
  <c r="K42" i="5" l="1"/>
  <c r="K43" i="5"/>
  <c r="K44" i="5"/>
  <c r="K45" i="5"/>
  <c r="K46" i="5"/>
  <c r="C2" i="6" l="1"/>
  <c r="K29" i="5" s="1"/>
  <c r="G9" i="17" l="1"/>
  <c r="K42" i="33" l="1"/>
  <c r="K37" i="33"/>
  <c r="K29" i="33"/>
  <c r="K22" i="33"/>
  <c r="K17" i="33"/>
  <c r="K16" i="33"/>
  <c r="K12" i="33"/>
  <c r="K11" i="33"/>
  <c r="K10" i="33"/>
  <c r="I13" i="33"/>
  <c r="I47" i="33"/>
  <c r="K47" i="33" s="1"/>
  <c r="K40" i="33"/>
  <c r="K41" i="33"/>
  <c r="F13" i="5" l="1"/>
  <c r="F15" i="5"/>
  <c r="K50" i="5"/>
  <c r="K51" i="5"/>
  <c r="D58" i="5"/>
  <c r="D57" i="5"/>
  <c r="D56" i="5"/>
  <c r="K49" i="5"/>
  <c r="K13" i="33" l="1"/>
  <c r="L15" i="5"/>
  <c r="L13" i="5"/>
  <c r="H28" i="13" l="1"/>
  <c r="I21" i="33"/>
  <c r="K21" i="33" s="1"/>
  <c r="I48" i="33"/>
  <c r="K48" i="33" s="1"/>
  <c r="I95" i="3" l="1"/>
  <c r="H85" i="3" l="1"/>
  <c r="H87" i="3" s="1"/>
  <c r="H79" i="3"/>
  <c r="H17" i="15" l="1"/>
  <c r="H18" i="15" s="1"/>
  <c r="H19" i="15" s="1"/>
  <c r="K24" i="33" s="1"/>
  <c r="C7" i="15"/>
  <c r="C7" i="9"/>
  <c r="C9" i="9" s="1"/>
  <c r="C11" i="9" s="1"/>
  <c r="C13" i="9" s="1"/>
  <c r="C17" i="9" s="1"/>
  <c r="C19" i="9" s="1"/>
  <c r="C21" i="9" s="1"/>
  <c r="C23" i="9" s="1"/>
  <c r="E9" i="15" l="1"/>
  <c r="C27" i="15"/>
  <c r="I22" i="33"/>
  <c r="I24" i="33" s="1"/>
  <c r="D12" i="15"/>
  <c r="C25" i="9"/>
  <c r="C29" i="9" s="1"/>
  <c r="C33" i="9" s="1"/>
  <c r="I25" i="33" l="1"/>
  <c r="K25" i="33" s="1"/>
  <c r="F27" i="15"/>
  <c r="H31" i="15"/>
  <c r="H30" i="15"/>
  <c r="I23" i="33"/>
  <c r="K23" i="33"/>
  <c r="D14" i="20"/>
  <c r="E14" i="20"/>
  <c r="F14" i="20"/>
  <c r="G14" i="20"/>
  <c r="H14" i="20"/>
  <c r="I14" i="20"/>
  <c r="D15" i="20"/>
  <c r="E15" i="20"/>
  <c r="F15" i="20"/>
  <c r="G15" i="20"/>
  <c r="H15" i="20"/>
  <c r="I15" i="20"/>
  <c r="E13" i="20"/>
  <c r="F13" i="20"/>
  <c r="G13" i="20"/>
  <c r="H13" i="20"/>
  <c r="I13" i="20"/>
  <c r="D13" i="20"/>
  <c r="D10" i="20"/>
  <c r="E10" i="20"/>
  <c r="F10" i="20"/>
  <c r="G10" i="20"/>
  <c r="H10" i="20"/>
  <c r="I10" i="20"/>
  <c r="D11" i="20"/>
  <c r="E11" i="20"/>
  <c r="F11" i="20"/>
  <c r="G11" i="20"/>
  <c r="H11" i="20"/>
  <c r="I11" i="20"/>
  <c r="E9" i="20"/>
  <c r="F9" i="20"/>
  <c r="G9" i="20"/>
  <c r="H9" i="20"/>
  <c r="I9" i="20"/>
  <c r="D9" i="20"/>
  <c r="F12" i="20" l="1"/>
  <c r="D12" i="20"/>
  <c r="H12" i="20"/>
  <c r="E12" i="20"/>
  <c r="G12" i="20"/>
  <c r="I12" i="20"/>
  <c r="I8" i="21"/>
  <c r="J10" i="21"/>
  <c r="J24" i="21" s="1"/>
  <c r="B1" i="21"/>
  <c r="K1" i="21"/>
  <c r="C8" i="21"/>
  <c r="J8" i="21"/>
  <c r="K8" i="21"/>
  <c r="C9" i="21"/>
  <c r="C23" i="21" s="1"/>
  <c r="E9" i="21"/>
  <c r="E23" i="21" s="1"/>
  <c r="I9" i="21"/>
  <c r="I23" i="21" s="1"/>
  <c r="K9" i="21"/>
  <c r="K23" i="21" s="1"/>
  <c r="C10" i="21"/>
  <c r="C24" i="21" s="1"/>
  <c r="E10" i="21"/>
  <c r="E24" i="21" s="1"/>
  <c r="I10" i="21"/>
  <c r="I24" i="21" s="1"/>
  <c r="K10" i="21"/>
  <c r="K24" i="21" s="1"/>
  <c r="C11" i="21"/>
  <c r="E11" i="21"/>
  <c r="I11" i="21"/>
  <c r="K11" i="21"/>
  <c r="C12" i="21"/>
  <c r="E12" i="21"/>
  <c r="I12" i="21"/>
  <c r="J12" i="21"/>
  <c r="C13" i="21"/>
  <c r="J13" i="21"/>
  <c r="K13" i="21"/>
  <c r="C14" i="21"/>
  <c r="E14" i="21"/>
  <c r="I14" i="21"/>
  <c r="J14" i="21"/>
  <c r="C15" i="21"/>
  <c r="J15" i="21"/>
  <c r="K15" i="21"/>
  <c r="C16" i="21"/>
  <c r="E16" i="21"/>
  <c r="I16" i="21"/>
  <c r="J16" i="21"/>
  <c r="J9" i="20"/>
  <c r="J13" i="20"/>
  <c r="J14" i="20"/>
  <c r="J15" i="20"/>
  <c r="D16" i="20"/>
  <c r="E16" i="20"/>
  <c r="F16" i="20"/>
  <c r="G16" i="20"/>
  <c r="H16" i="20"/>
  <c r="I16" i="20"/>
  <c r="E7" i="15"/>
  <c r="H17" i="20" l="1"/>
  <c r="F17" i="20"/>
  <c r="I15" i="21"/>
  <c r="L15" i="21" s="1"/>
  <c r="D29" i="29" s="1"/>
  <c r="I13" i="21"/>
  <c r="L13" i="21" s="1"/>
  <c r="D27" i="29" s="1"/>
  <c r="C7" i="21"/>
  <c r="C22" i="21" s="1"/>
  <c r="D17" i="20"/>
  <c r="E7" i="21"/>
  <c r="J11" i="20"/>
  <c r="K16" i="21"/>
  <c r="L16" i="21" s="1"/>
  <c r="D30" i="29" s="1"/>
  <c r="E15" i="21"/>
  <c r="K14" i="21"/>
  <c r="L14" i="21" s="1"/>
  <c r="D28" i="29" s="1"/>
  <c r="E13" i="21"/>
  <c r="K12" i="21"/>
  <c r="L12" i="21" s="1"/>
  <c r="D26" i="29" s="1"/>
  <c r="E8" i="21"/>
  <c r="K7" i="21"/>
  <c r="K22" i="21" s="1"/>
  <c r="K25" i="21" s="1"/>
  <c r="J9" i="21"/>
  <c r="J23" i="21" s="1"/>
  <c r="L23" i="21" s="1"/>
  <c r="I17" i="20"/>
  <c r="D7" i="21"/>
  <c r="G17" i="20"/>
  <c r="J11" i="21"/>
  <c r="L11" i="21" s="1"/>
  <c r="D25" i="29" s="1"/>
  <c r="J10" i="20"/>
  <c r="D16" i="21"/>
  <c r="F16" i="21" s="1"/>
  <c r="D15" i="21"/>
  <c r="D14" i="21"/>
  <c r="F14" i="21" s="1"/>
  <c r="D13" i="21"/>
  <c r="D12" i="21"/>
  <c r="F12" i="21" s="1"/>
  <c r="D11" i="21"/>
  <c r="F11" i="21" s="1"/>
  <c r="D10" i="21"/>
  <c r="D24" i="21" s="1"/>
  <c r="F24" i="21" s="1"/>
  <c r="D9" i="21"/>
  <c r="D23" i="21" s="1"/>
  <c r="F23" i="21" s="1"/>
  <c r="J7" i="21"/>
  <c r="D8" i="21"/>
  <c r="I7" i="21"/>
  <c r="I22" i="21" s="1"/>
  <c r="I25" i="21" s="1"/>
  <c r="J16" i="20"/>
  <c r="L24" i="21"/>
  <c r="L10" i="21"/>
  <c r="D24" i="29" s="1"/>
  <c r="L8" i="21"/>
  <c r="D22" i="29" s="1"/>
  <c r="J12" i="20"/>
  <c r="E17" i="20"/>
  <c r="F15" i="17" l="1"/>
  <c r="C36" i="17" s="1"/>
  <c r="I31" i="33" s="1"/>
  <c r="D38" i="29"/>
  <c r="F13" i="17"/>
  <c r="C24" i="17" s="1"/>
  <c r="I30" i="33" s="1"/>
  <c r="D37" i="29"/>
  <c r="C17" i="21"/>
  <c r="D22" i="21"/>
  <c r="D25" i="21" s="1"/>
  <c r="F15" i="21"/>
  <c r="F9" i="21"/>
  <c r="E17" i="21"/>
  <c r="F8" i="21"/>
  <c r="F7" i="21"/>
  <c r="L9" i="21"/>
  <c r="D23" i="29" s="1"/>
  <c r="F13" i="21"/>
  <c r="C21" i="20"/>
  <c r="C20" i="20" s="1"/>
  <c r="I17" i="21"/>
  <c r="J17" i="20"/>
  <c r="B20" i="20" s="1"/>
  <c r="E22" i="21"/>
  <c r="E25" i="21" s="1"/>
  <c r="K17" i="21"/>
  <c r="J17" i="21"/>
  <c r="J22" i="21"/>
  <c r="J25" i="21" s="1"/>
  <c r="F10" i="21"/>
  <c r="D17" i="21"/>
  <c r="L7" i="21"/>
  <c r="D21" i="29" s="1"/>
  <c r="C25" i="21"/>
  <c r="J30" i="17" l="1"/>
  <c r="K30" i="33" s="1"/>
  <c r="J42" i="17"/>
  <c r="K31" i="33" s="1"/>
  <c r="J29" i="17"/>
  <c r="J41" i="17"/>
  <c r="E36" i="17"/>
  <c r="E24" i="17"/>
  <c r="F17" i="21"/>
  <c r="F22" i="21"/>
  <c r="F25" i="21" s="1"/>
  <c r="L17" i="21"/>
  <c r="L22" i="21"/>
  <c r="G10" i="17" l="1"/>
  <c r="D31" i="29"/>
  <c r="L25" i="21"/>
  <c r="D39" i="29" s="1"/>
  <c r="D36" i="29"/>
  <c r="I31" i="3"/>
  <c r="H31" i="3"/>
  <c r="G31" i="3"/>
  <c r="L35" i="3"/>
  <c r="K35" i="3"/>
  <c r="J35" i="3"/>
  <c r="I35" i="3"/>
  <c r="H35" i="3"/>
  <c r="G35" i="3"/>
  <c r="M32" i="3"/>
  <c r="M33" i="3"/>
  <c r="J31" i="3"/>
  <c r="K31" i="3"/>
  <c r="K36" i="3" s="1"/>
  <c r="L31" i="3"/>
  <c r="M29" i="3"/>
  <c r="M30" i="3"/>
  <c r="M28" i="3"/>
  <c r="H36" i="3" l="1"/>
  <c r="I36" i="3"/>
  <c r="G36" i="3"/>
  <c r="G11" i="17"/>
  <c r="C52" i="17" s="1"/>
  <c r="I33" i="33" s="1"/>
  <c r="K33" i="33" s="1"/>
  <c r="J36" i="3"/>
  <c r="L36" i="3"/>
  <c r="M35" i="3"/>
  <c r="M31" i="3"/>
  <c r="E52" i="17" l="1"/>
  <c r="C56" i="17"/>
  <c r="M36" i="3"/>
  <c r="C9" i="30" s="1"/>
  <c r="K41" i="5"/>
  <c r="E9" i="30" l="1"/>
  <c r="F16" i="30"/>
  <c r="F17" i="30" s="1"/>
  <c r="C7" i="29"/>
  <c r="E7" i="29" s="1"/>
  <c r="C7" i="13"/>
  <c r="C62" i="17"/>
  <c r="I34" i="33" s="1"/>
  <c r="K34" i="33" s="1"/>
  <c r="C42" i="27"/>
  <c r="E42" i="27" s="1"/>
  <c r="C7" i="27"/>
  <c r="I42" i="33" s="1"/>
  <c r="F5" i="28"/>
  <c r="C15" i="28" s="1"/>
  <c r="C20" i="28" s="1"/>
  <c r="K15" i="33" s="1"/>
  <c r="C7" i="16"/>
  <c r="C7" i="8"/>
  <c r="I14" i="8" l="1"/>
  <c r="I25" i="8"/>
  <c r="I24" i="8"/>
  <c r="C12" i="29"/>
  <c r="I36" i="33"/>
  <c r="I15" i="8"/>
  <c r="I20" i="33"/>
  <c r="I19" i="33"/>
  <c r="E15" i="16"/>
  <c r="E46" i="27"/>
  <c r="G46" i="27" s="1"/>
  <c r="E7" i="13"/>
  <c r="F16" i="13"/>
  <c r="F17" i="13"/>
  <c r="I45" i="33"/>
  <c r="K45" i="33" s="1"/>
  <c r="C66" i="17"/>
  <c r="E62" i="17"/>
  <c r="E7" i="27"/>
  <c r="M37" i="8"/>
  <c r="M36" i="8"/>
  <c r="K7" i="28"/>
  <c r="E15" i="28"/>
  <c r="K10" i="28"/>
  <c r="E7" i="16"/>
  <c r="I17" i="33"/>
  <c r="E7" i="8"/>
  <c r="I38" i="33"/>
  <c r="I26" i="33"/>
  <c r="K26" i="33" s="1"/>
  <c r="I15" i="33"/>
  <c r="G23" i="27"/>
  <c r="E29" i="27" s="1"/>
  <c r="I31" i="8" l="1"/>
  <c r="M35" i="8" s="1"/>
  <c r="I30" i="8"/>
  <c r="K36" i="33"/>
  <c r="G42" i="16"/>
  <c r="I28" i="33"/>
  <c r="G22" i="16"/>
  <c r="G38" i="16"/>
  <c r="G25" i="16"/>
  <c r="G26" i="16"/>
  <c r="G15" i="16"/>
  <c r="I27" i="33"/>
  <c r="K20" i="33"/>
  <c r="G41" i="16"/>
  <c r="G37" i="16"/>
  <c r="G21" i="16"/>
  <c r="I18" i="33"/>
  <c r="K39" i="33"/>
  <c r="K38" i="33"/>
  <c r="G29" i="27"/>
  <c r="G34" i="27"/>
  <c r="G35" i="27" s="1"/>
  <c r="G36" i="27" s="1"/>
  <c r="I43" i="33"/>
  <c r="K43" i="33" s="1"/>
  <c r="I44" i="33"/>
  <c r="I23" i="27"/>
  <c r="G40" i="8" l="1"/>
  <c r="G41" i="8"/>
  <c r="K18" i="33" s="1"/>
  <c r="G46" i="16"/>
  <c r="K28" i="33" s="1"/>
  <c r="G30" i="16"/>
  <c r="K27" i="33" s="1"/>
  <c r="G45" i="16"/>
  <c r="G29" i="16"/>
  <c r="K44" i="33"/>
</calcChain>
</file>

<file path=xl/sharedStrings.xml><?xml version="1.0" encoding="utf-8"?>
<sst xmlns="http://schemas.openxmlformats.org/spreadsheetml/2006/main" count="1176" uniqueCount="444">
  <si>
    <t>Affordable Housing</t>
  </si>
  <si>
    <t>Yes</t>
  </si>
  <si>
    <t>Arts and Culture</t>
  </si>
  <si>
    <t>Social Infrastructure</t>
  </si>
  <si>
    <t>Open Space</t>
  </si>
  <si>
    <t>Sustainability</t>
  </si>
  <si>
    <t>Transport</t>
  </si>
  <si>
    <t>Historic Environment</t>
  </si>
  <si>
    <t>CCTV</t>
  </si>
  <si>
    <t>Application Details</t>
  </si>
  <si>
    <t>Proposed Dwellings</t>
  </si>
  <si>
    <t>A1</t>
  </si>
  <si>
    <t>Proposed Floorspace</t>
  </si>
  <si>
    <t>A2</t>
  </si>
  <si>
    <t>A3</t>
  </si>
  <si>
    <t>A4</t>
  </si>
  <si>
    <t>A5</t>
  </si>
  <si>
    <t>B2</t>
  </si>
  <si>
    <t>B8</t>
  </si>
  <si>
    <t>C1</t>
  </si>
  <si>
    <t>C2</t>
  </si>
  <si>
    <t>C2A</t>
  </si>
  <si>
    <t>C3</t>
  </si>
  <si>
    <t>C4</t>
  </si>
  <si>
    <t>D1</t>
  </si>
  <si>
    <t>D2</t>
  </si>
  <si>
    <t>Total</t>
  </si>
  <si>
    <t>Dwelling Type</t>
  </si>
  <si>
    <t>Flats</t>
  </si>
  <si>
    <t>Market</t>
  </si>
  <si>
    <t>Intermediate</t>
  </si>
  <si>
    <t>Social Rented</t>
  </si>
  <si>
    <t>Tenure</t>
  </si>
  <si>
    <t>Houses</t>
  </si>
  <si>
    <t>Studio</t>
  </si>
  <si>
    <t>Section 106 Monitoring Fee</t>
  </si>
  <si>
    <t>Development Size and Type</t>
  </si>
  <si>
    <t>10–49</t>
  </si>
  <si>
    <t>Residential</t>
  </si>
  <si>
    <t>Non-Residential</t>
  </si>
  <si>
    <t>Less than 10</t>
  </si>
  <si>
    <t>50–99</t>
  </si>
  <si>
    <t>100–149</t>
  </si>
  <si>
    <t>150–199</t>
  </si>
  <si>
    <t>200 or more</t>
  </si>
  <si>
    <t>Less than 1,000</t>
  </si>
  <si>
    <t>10,000 or more</t>
  </si>
  <si>
    <t>Proposed Floorspace (m²)</t>
  </si>
  <si>
    <t>Hours per Scheme per Year (H)</t>
  </si>
  <si>
    <t>R1</t>
  </si>
  <si>
    <t>R2</t>
  </si>
  <si>
    <t>R3</t>
  </si>
  <si>
    <t>R4</t>
  </si>
  <si>
    <t>R5</t>
  </si>
  <si>
    <t>R6</t>
  </si>
  <si>
    <t>NR1</t>
  </si>
  <si>
    <t>NR2</t>
  </si>
  <si>
    <t>NR3</t>
  </si>
  <si>
    <t>Hourly Rate</t>
  </si>
  <si>
    <t>per hour</t>
  </si>
  <si>
    <t>A</t>
  </si>
  <si>
    <t>B</t>
  </si>
  <si>
    <t>Number of non-financial obligations</t>
  </si>
  <si>
    <t>Development type multiplier</t>
  </si>
  <si>
    <t>C</t>
  </si>
  <si>
    <t>D</t>
  </si>
  <si>
    <t>E</t>
  </si>
  <si>
    <t>F</t>
  </si>
  <si>
    <t>Number of financial obligations</t>
  </si>
  <si>
    <t>Number of demand notices required for all financial obligation categories</t>
  </si>
  <si>
    <t>BCIS Index on the date when the section 106 monitoring fee is paid</t>
  </si>
  <si>
    <t>BCIS Index on the date when the section 106 agreement is completed</t>
  </si>
  <si>
    <t>Date:</t>
  </si>
  <si>
    <t>Inputs</t>
  </si>
  <si>
    <t>Assumed Delivery Timescale in
Years (G)</t>
  </si>
  <si>
    <t>Development Type Multiplier
(A = G × H)</t>
  </si>
  <si>
    <t>G</t>
  </si>
  <si>
    <t>H</t>
  </si>
  <si>
    <t>Section of the Planning Obligations Supplementary Planning Document</t>
  </si>
  <si>
    <t>Negotiating and Monitoring Section 106 Obligations</t>
  </si>
  <si>
    <t>Highways Inspection Fee</t>
  </si>
  <si>
    <t>Calculation Sheet</t>
  </si>
  <si>
    <t>Summary</t>
  </si>
  <si>
    <t>Legislative and Policy Context</t>
  </si>
  <si>
    <t>Types of Planning Obligations</t>
  </si>
  <si>
    <t>Community Infrastructure Levy (CIL)</t>
  </si>
  <si>
    <t>Section 278 Highways Act 1980 Agreements</t>
  </si>
  <si>
    <t>Affordable, Flexible and Managed Workspace</t>
  </si>
  <si>
    <t>6.13</t>
  </si>
  <si>
    <t>Carbon Offsetting</t>
  </si>
  <si>
    <t>Decentralised Energy Networks</t>
  </si>
  <si>
    <t>Biodiversity/Habitats</t>
  </si>
  <si>
    <t>Flood Risk</t>
  </si>
  <si>
    <t>10.11</t>
  </si>
  <si>
    <t>Air Quality</t>
  </si>
  <si>
    <t>Wandsworth Planning Obligations Supplementary Planning Document Calculator</t>
  </si>
  <si>
    <t>Contents</t>
  </si>
  <si>
    <t>-</t>
  </si>
  <si>
    <t>Not included: refer to the Planning Obligations Supplementary Planning Document</t>
  </si>
  <si>
    <t>Instructions</t>
  </si>
  <si>
    <t>Calculation Sheets:</t>
  </si>
  <si>
    <t>Relevant to Application</t>
  </si>
  <si>
    <t>Applies to all section 106 agreements</t>
  </si>
  <si>
    <t>Reason:</t>
  </si>
  <si>
    <t>Development Details</t>
  </si>
  <si>
    <t>Number of Bedrooms</t>
  </si>
  <si>
    <t>5+</t>
  </si>
  <si>
    <t>No</t>
  </si>
  <si>
    <t>Proposed non-self-contained or student rooms</t>
  </si>
  <si>
    <t>Predominant use</t>
  </si>
  <si>
    <t>Proposed Uses</t>
  </si>
  <si>
    <t>Use Class</t>
  </si>
  <si>
    <t>Gross Internal Area (m²)</t>
  </si>
  <si>
    <t>The number of proposed flats and houses</t>
  </si>
  <si>
    <t>The number of proposed student accommodation rooms, residential care or nursing home rooms, house in multiple occupation rooms, and hostel rooms</t>
  </si>
  <si>
    <t>Sui generis</t>
  </si>
  <si>
    <t>Flexible uses</t>
  </si>
  <si>
    <t>Commuted Sum Requirement</t>
  </si>
  <si>
    <t>=</t>
  </si>
  <si>
    <t>The BCIS Index is available from Wandsworth Council</t>
  </si>
  <si>
    <t>Use of Local Suppliers Requirement</t>
  </si>
  <si>
    <t>Local Procurement Plan or commuted sum required</t>
  </si>
  <si>
    <t>Requirement</t>
  </si>
  <si>
    <t>General Requirement</t>
  </si>
  <si>
    <t>Arts and Culture Action Plan Requirement</t>
  </si>
  <si>
    <t>Commuted sum required</t>
  </si>
  <si>
    <t>Population Yield</t>
  </si>
  <si>
    <t>2004 Sites 2007 Re-Survey Yield</t>
  </si>
  <si>
    <t>MARKET FLATS (Owner Occupied &amp; Rent Private)</t>
  </si>
  <si>
    <t>MARKET HOUSES (Owner Occupied &amp; Rent Private)</t>
  </si>
  <si>
    <t>Market Assumptions</t>
  </si>
  <si>
    <t>Age</t>
  </si>
  <si>
    <t>4 bed flats = yield 3 bed flats</t>
  </si>
  <si>
    <t>5+ bed flats = yield 4 bed houses</t>
  </si>
  <si>
    <t>0-2</t>
  </si>
  <si>
    <t>0 bed houses = yield 0 bed flats</t>
  </si>
  <si>
    <t>3-4</t>
  </si>
  <si>
    <t>1 bed houses = yield 1 bed flats</t>
  </si>
  <si>
    <t>5-10</t>
  </si>
  <si>
    <t>11-15</t>
  </si>
  <si>
    <t>16-19</t>
  </si>
  <si>
    <t>20-29</t>
  </si>
  <si>
    <t>30-39</t>
  </si>
  <si>
    <t>40-59</t>
  </si>
  <si>
    <t>60-79</t>
  </si>
  <si>
    <t>80+</t>
  </si>
  <si>
    <t>Part-own/Part-rent Flats</t>
  </si>
  <si>
    <t>Part-own/Part-rent Houses</t>
  </si>
  <si>
    <t>Intermediate Assumptions</t>
  </si>
  <si>
    <t>0 bed flats = yield 1 bed flats</t>
  </si>
  <si>
    <t>3 bed flats = yield 2 bed flats</t>
  </si>
  <si>
    <t>4+ bed flats = yield 3 bed houses</t>
  </si>
  <si>
    <t>4+ bed houses = yield 3 bed houses</t>
  </si>
  <si>
    <t>Rent Housing Association Flats</t>
  </si>
  <si>
    <t>Rent Housing Association Houses</t>
  </si>
  <si>
    <t>Social Rent Assumptions</t>
  </si>
  <si>
    <t>2 bed houses = yield 2 bed flats</t>
  </si>
  <si>
    <t>Source: 2007 New Housing Re-Survey (Sites originally surveyed in 2004 only)</t>
  </si>
  <si>
    <t>Wandsworth Council does not accept any responsibility for loss or liability occasioned as a result of usage of this data.  It is provided for information only.</t>
  </si>
  <si>
    <t>These data have been provided to you for the sole use of your organisation and in some instances for specific projects.  
Data must not be passed onto any other organisation or individual without prior permission from Wandsworth Council.</t>
  </si>
  <si>
    <t>Contact: Christine Cook, 020 8871 7177, ccook@wandsworth.gov.uk</t>
  </si>
  <si>
    <t>Borough Planner's Service, Wandsworth Council, London, SW18 2PU.</t>
  </si>
  <si>
    <t>3.  Press button 'Calculate Population Yield'.</t>
  </si>
  <si>
    <t>2.  Enter proposed number of dwellings of each size, type and tenure into matrix.</t>
  </si>
  <si>
    <t>1.  Type in Development Name and/or Application Number</t>
  </si>
  <si>
    <t>Affordable Split</t>
  </si>
  <si>
    <t>Affordable</t>
  </si>
  <si>
    <t>App No.</t>
  </si>
  <si>
    <t>Development:</t>
  </si>
  <si>
    <t>Development Matrix</t>
  </si>
  <si>
    <t>Source: 2007 New Housing Re-Survey (2004 Sites Only)</t>
  </si>
  <si>
    <t>Source: 2004 New Housing Survey</t>
  </si>
  <si>
    <t>0-4</t>
  </si>
  <si>
    <t>Child Yield (Over time)</t>
  </si>
  <si>
    <t>Child Yield (Initial)</t>
  </si>
  <si>
    <t>Population Yield (Over time)</t>
  </si>
  <si>
    <t>Population Yield (Initial)</t>
  </si>
  <si>
    <t xml:space="preserve">Source: 2004 New Housing Survey </t>
  </si>
  <si>
    <t>5+ bed houses = yield 4 bed houses</t>
  </si>
  <si>
    <t>0 bed houses = yield 1 bed houses</t>
  </si>
  <si>
    <t>5+ bed flats = yield 4 bed flats</t>
  </si>
  <si>
    <t>2004 Sites Original Survey Yield</t>
  </si>
  <si>
    <t>Primary school age children</t>
  </si>
  <si>
    <t>Secondary school age children</t>
  </si>
  <si>
    <t>The 5–10 year old child yield expected over time</t>
  </si>
  <si>
    <t>The 11–15 year old child yield expected over time</t>
  </si>
  <si>
    <t>Primary school additional permanent forms of entry</t>
  </si>
  <si>
    <t>Secondary school additional permanent forms of entry</t>
  </si>
  <si>
    <t>Excess</t>
  </si>
  <si>
    <t>kg/annum</t>
  </si>
  <si>
    <t>The air quality impacts of the new development will be fully mitigated</t>
  </si>
  <si>
    <t>Mitigation or Financial Contribution Requirement</t>
  </si>
  <si>
    <t>Mitigation or financial contribution required</t>
  </si>
  <si>
    <t>Financial Contribution</t>
  </si>
  <si>
    <t>Financial contribution required</t>
  </si>
  <si>
    <t>Air quality fund contribution</t>
  </si>
  <si>
    <t>Enter all the details required on the Application Details and Development Details sheets.</t>
  </si>
  <si>
    <t>It does not cover all the provisions of the Supplementary Planning Document, as in that document not all of the thresholds or requirements are represented in terms of a formula.</t>
  </si>
  <si>
    <t>Calculated Field</t>
  </si>
  <si>
    <t>Input Required</t>
  </si>
  <si>
    <t>What This Calculator Covers</t>
  </si>
  <si>
    <t>Information That Must Be Entered</t>
  </si>
  <si>
    <t>Help on Using the Calculator</t>
  </si>
  <si>
    <t>Proposed Self-Contained Dwellings</t>
  </si>
  <si>
    <t>Commercial Floorspace</t>
  </si>
  <si>
    <t>Economic Floorspace</t>
  </si>
  <si>
    <t>B1, B2 and B8 floorspace</t>
  </si>
  <si>
    <t>A1, A2, A3, A4, A5, B1, B2, B8, C1, D1 and D2 floorspace</t>
  </si>
  <si>
    <t>The provisions of the Supplementary Planning Document that can be calculated using this calculator are listed in the Contents sheet.</t>
  </si>
  <si>
    <t xml:space="preserve"> </t>
  </si>
  <si>
    <t>In this calculator, any fields that require information about the development to be entered are shaded gold:</t>
  </si>
  <si>
    <t>All Floorspace</t>
  </si>
  <si>
    <t>Non-residential</t>
  </si>
  <si>
    <t>Note: Refer to the Planning Obligations Supplementary Planning Document for details of any requirements shown above</t>
  </si>
  <si>
    <t>Any fields that are automatically calculated, and result in a requirement, are shaded green:</t>
  </si>
  <si>
    <t>Application number</t>
  </si>
  <si>
    <t>Site address</t>
  </si>
  <si>
    <t>Development description</t>
  </si>
  <si>
    <t>Date entered into calculator</t>
  </si>
  <si>
    <t>Date granted</t>
  </si>
  <si>
    <t>Total proposed dwellings</t>
  </si>
  <si>
    <t>Dwelling sizes significantly exceed the space standards in Table 3.3 of the London Plan</t>
  </si>
  <si>
    <t>10% × economic floorspace</t>
  </si>
  <si>
    <t>Any fields that are automatically calculated, as a result of the information that has been entered, are shaded grey:</t>
  </si>
  <si>
    <t>Arts and Cultural Infrastructure</t>
  </si>
  <si>
    <t>Arts and cultural infrastructure contribution required</t>
  </si>
  <si>
    <t>On-Site Provision</t>
  </si>
  <si>
    <t>Carbon offset</t>
  </si>
  <si>
    <t>Zero carbon shortfall</t>
  </si>
  <si>
    <t>tonnes of carbon dioxide per year</t>
  </si>
  <si>
    <t>Carbon Offset Requirement</t>
  </si>
  <si>
    <t>Planning obligation or commuted sum required for biodiversity/habitat works, restrictions or monitoring</t>
  </si>
  <si>
    <t xml:space="preserve">Emission benchmark </t>
  </si>
  <si>
    <t>Emissions</t>
  </si>
  <si>
    <t>Emission benchmark</t>
  </si>
  <si>
    <t>Building and Transport Emissions</t>
  </si>
  <si>
    <t>The proposal has a street cleansing impact that cannot be mitigated and contained wholly on site</t>
  </si>
  <si>
    <t>Historic environment impact is directly linked as a consequence of the development site and requires mitigation</t>
  </si>
  <si>
    <t>Historic environment contribution required</t>
  </si>
  <si>
    <t>Provision of CCTV cameras, connection to the Council's network or commuted sum required</t>
  </si>
  <si>
    <t>CCTV contribution required</t>
  </si>
  <si>
    <t>I</t>
  </si>
  <si>
    <t>J</t>
  </si>
  <si>
    <t>K</t>
  </si>
  <si>
    <t>For the provisions that are included in this calculator, the Planning Obligations Supplementary Planning Document must still be referred to for background explanation and details of the requirements.</t>
  </si>
  <si>
    <t>For further information about the calculator, or for any help in using it, contact Planning Information:</t>
  </si>
  <si>
    <t>planninginformation@wandsworth.gov.uk</t>
  </si>
  <si>
    <t>020 8871 7620</t>
  </si>
  <si>
    <t>Email</t>
  </si>
  <si>
    <t>Phone</t>
  </si>
  <si>
    <t>'Flexible uses' refers to applications for e.g. A1/A2/A3/A4/A5 rather than just one A use class; the total of any flexible uses across all use classes proposed should be entered here</t>
  </si>
  <si>
    <t>Unit Size</t>
  </si>
  <si>
    <t>1 Bed</t>
  </si>
  <si>
    <t>2 Bed</t>
  </si>
  <si>
    <t>3 Bed</t>
  </si>
  <si>
    <t>4 Bed</t>
  </si>
  <si>
    <t>5+ Bed</t>
  </si>
  <si>
    <t>primary school age children / 210</t>
  </si>
  <si>
    <t>secondary school age children / 150</t>
  </si>
  <si>
    <t>Primary Schools</t>
  </si>
  <si>
    <t>Secondary Schools</t>
  </si>
  <si>
    <t>1,000–10,000</t>
  </si>
  <si>
    <t>Monitoring fee at time of payment</t>
  </si>
  <si>
    <t>officer time (h) × hourly rate (£)</t>
  </si>
  <si>
    <t>Officer Time</t>
  </si>
  <si>
    <t>Development Type Multiplier</t>
  </si>
  <si>
    <t>Calculations</t>
  </si>
  <si>
    <t>Indexation</t>
  </si>
  <si>
    <t>the greater of 1 and (E / F)</t>
  </si>
  <si>
    <t>Development Size and Type Code</t>
  </si>
  <si>
    <t>The development type multiplier is shown shaded dark grey in this table, calculated based on the data entered on the 'Development Details' sheet. If any required data is missing from that sheet, the calculation will produce an error.</t>
  </si>
  <si>
    <t>Proposed densities are below the minimum threshold in the London Plan Sustainable Residential Quality (SRQ) density matrix (London Plan Table 3.2)</t>
  </si>
  <si>
    <t xml:space="preserve">This calculator incorporates many of the thresholds and formulas in the Planning Obligations Supplementary Planning Document ('the Supplementary Planning Document'), as a tool to estimate and calculate obligations that may be required of development within the borough. </t>
  </si>
  <si>
    <t>A1, A2, A3, A4, A5, B1, B2, B8, D1 and D2 floorspace</t>
  </si>
  <si>
    <t>Non-residential Floorspace</t>
  </si>
  <si>
    <t>Floorspace such as car parking, basements, plant rooms and circulation space must all be included in this table</t>
  </si>
  <si>
    <t>For clarity, the indexation component of the formula (× (E × F)) has been shown separately, under 'Indexation', below</t>
  </si>
  <si>
    <t>Set annually by Wandsworth Council</t>
  </si>
  <si>
    <t>Calculated using the Council's Population Yield Calculator</t>
  </si>
  <si>
    <t>Density and Space Standards</t>
  </si>
  <si>
    <t>Number of Dwellings and Dwelling Size Mix</t>
  </si>
  <si>
    <t>Social/Affordable Rent</t>
  </si>
  <si>
    <t>Inputs still required</t>
  </si>
  <si>
    <t>Requirements Summary</t>
  </si>
  <si>
    <t>Type</t>
  </si>
  <si>
    <t>Message</t>
  </si>
  <si>
    <t>No requirement</t>
  </si>
  <si>
    <t>Not included in calculator</t>
  </si>
  <si>
    <t>Refer to the Supplementary Planning Document</t>
  </si>
  <si>
    <t>Street Cleansing—Construction Phase</t>
  </si>
  <si>
    <t>No requirement in document</t>
  </si>
  <si>
    <t>Managed Workspace</t>
  </si>
  <si>
    <t>Affordable floorspace (m²)</t>
  </si>
  <si>
    <t>greater of 400 and (10% × economic floorspace)</t>
  </si>
  <si>
    <t>Managed workspace floorspace (m²)</t>
  </si>
  <si>
    <t>The required managed workspace floorspace will be provided</t>
  </si>
  <si>
    <t>Affordable Rent in Perpetuity</t>
  </si>
  <si>
    <t>Source</t>
  </si>
  <si>
    <t>Dwellings</t>
  </si>
  <si>
    <t>Non-self-contained or student rooms</t>
  </si>
  <si>
    <t>Planning obligation or commuted sum required for flood risk measures</t>
  </si>
  <si>
    <t>Employment and Skills</t>
  </si>
  <si>
    <t>Historic Environment and CCTV</t>
  </si>
  <si>
    <t>Section</t>
  </si>
  <si>
    <t>Sheets</t>
  </si>
  <si>
    <t>These calculator inputs are required, but require responses based on the context of the topic, so are presented on the relevant calculation sheets</t>
  </si>
  <si>
    <t>Arts and Cultural Infrastructure Contribution</t>
  </si>
  <si>
    <t>Provision of Emergency Services Facilities</t>
  </si>
  <si>
    <t>Mitigation or Financial Contribution Required</t>
  </si>
  <si>
    <t>Air Quality Fund Contribution</t>
  </si>
  <si>
    <t>Inputs Required on Calculation Sheets</t>
  </si>
  <si>
    <t>Then check the calculations sheets, sheets A–K, filling in any gold shaded input fields that are relevant to the application.</t>
  </si>
  <si>
    <t>Calculator Results</t>
  </si>
  <si>
    <t>Once all of the required inputs have been entered, the Requirements Summary sheet shows a summary of the requirements of the proposal, to act as a starting point for discussions with the Council.</t>
  </si>
  <si>
    <r>
      <rPr>
        <i/>
        <sz val="10"/>
        <color theme="1"/>
        <rFont val="Tahoma"/>
        <family val="2"/>
        <scheme val="minor"/>
      </rPr>
      <t>Sui generis</t>
    </r>
    <r>
      <rPr>
        <sz val="10"/>
        <color theme="1"/>
        <rFont val="Tahoma"/>
        <family val="2"/>
        <scheme val="minor"/>
      </rPr>
      <t xml:space="preserve"> or flexible uses commercial floorspace</t>
    </r>
  </si>
  <si>
    <r>
      <rPr>
        <i/>
        <sz val="10"/>
        <color theme="1"/>
        <rFont val="Tahoma"/>
        <family val="2"/>
        <scheme val="minor"/>
      </rPr>
      <t>Sui generis</t>
    </r>
    <r>
      <rPr>
        <sz val="10"/>
        <color theme="1"/>
        <rFont val="Tahoma"/>
        <family val="2"/>
        <scheme val="minor"/>
      </rPr>
      <t xml:space="preserve"> or flexible uses economic floorspace</t>
    </r>
  </si>
  <si>
    <r>
      <rPr>
        <i/>
        <sz val="10"/>
        <color theme="1"/>
        <rFont val="Tahoma"/>
        <family val="2"/>
        <scheme val="minor"/>
      </rPr>
      <t>Sui generis</t>
    </r>
    <r>
      <rPr>
        <sz val="10"/>
        <color theme="1"/>
        <rFont val="Tahoma"/>
        <family val="2"/>
        <scheme val="minor"/>
      </rPr>
      <t xml:space="preserve"> or flexible uses non-residential floorspace</t>
    </r>
  </si>
  <si>
    <r>
      <t xml:space="preserve">Based on the definition of 'commercial floorspace' in the Local Plan, use classes A1, A2, A3, A4, A5, B1, B2, B8, D1 and D2 provide commercial floorspace, but so may </t>
    </r>
    <r>
      <rPr>
        <sz val="10"/>
        <color rgb="FF7F7F7F"/>
        <rFont val="Tahoma"/>
        <family val="2"/>
        <scheme val="minor"/>
      </rPr>
      <t>sui generis</t>
    </r>
    <r>
      <rPr>
        <i/>
        <sz val="10"/>
        <color rgb="FF7F7F7F"/>
        <rFont val="Tahoma"/>
        <family val="2"/>
        <scheme val="minor"/>
      </rPr>
      <t xml:space="preserve"> or flexible uses</t>
    </r>
  </si>
  <si>
    <r>
      <t xml:space="preserve">Based on the definition of 'economic uses' in the Local Plan, use classes B1, B2 and B8, provide economic floorspace, but so may </t>
    </r>
    <r>
      <rPr>
        <sz val="10"/>
        <color rgb="FF7F7F7F"/>
        <rFont val="Tahoma"/>
        <family val="2"/>
        <scheme val="minor"/>
      </rPr>
      <t>sui generis</t>
    </r>
    <r>
      <rPr>
        <i/>
        <sz val="10"/>
        <color rgb="FF7F7F7F"/>
        <rFont val="Tahoma"/>
        <family val="2"/>
        <scheme val="minor"/>
      </rPr>
      <t xml:space="preserve"> uses that have an industrial character or flexible uses</t>
    </r>
  </si>
  <si>
    <r>
      <t xml:space="preserve">Use classes A1, A2, A3, A4, A5, B1, B2 and B8, C1, D1 and D2 provide non-residential floorspace, but so may </t>
    </r>
    <r>
      <rPr>
        <sz val="10"/>
        <color rgb="FF7F7F7F"/>
        <rFont val="Tahoma"/>
        <family val="2"/>
        <scheme val="minor"/>
      </rPr>
      <t>sui generis</t>
    </r>
    <r>
      <rPr>
        <i/>
        <sz val="10"/>
        <color rgb="FF7F7F7F"/>
        <rFont val="Tahoma"/>
        <family val="2"/>
        <scheme val="minor"/>
      </rPr>
      <t xml:space="preserve"> or flexible uses</t>
    </r>
  </si>
  <si>
    <r>
      <t>NO</t>
    </r>
    <r>
      <rPr>
        <b/>
        <vertAlign val="subscript"/>
        <sz val="10"/>
        <color theme="1"/>
        <rFont val="Tahoma"/>
        <family val="2"/>
        <scheme val="major"/>
      </rPr>
      <t>x</t>
    </r>
  </si>
  <si>
    <r>
      <t>PM</t>
    </r>
    <r>
      <rPr>
        <b/>
        <vertAlign val="subscript"/>
        <sz val="10"/>
        <color theme="1"/>
        <rFont val="Tahoma"/>
        <family val="2"/>
        <scheme val="major"/>
      </rPr>
      <t>10</t>
    </r>
  </si>
  <si>
    <r>
      <t>(£29,000 × excess t of NO</t>
    </r>
    <r>
      <rPr>
        <b/>
        <vertAlign val="subscript"/>
        <sz val="10"/>
        <color theme="0"/>
        <rFont val="Tahoma"/>
        <family val="2"/>
        <scheme val="major"/>
      </rPr>
      <t>x</t>
    </r>
    <r>
      <rPr>
        <b/>
        <sz val="10"/>
        <color theme="0"/>
        <rFont val="Tahoma"/>
        <family val="2"/>
        <scheme val="major"/>
      </rPr>
      <t>) + (£192,456 × excess t of PM</t>
    </r>
    <r>
      <rPr>
        <b/>
        <vertAlign val="subscript"/>
        <sz val="10"/>
        <color theme="0"/>
        <rFont val="Tahoma"/>
        <family val="2"/>
        <scheme val="major"/>
      </rPr>
      <t>10</t>
    </r>
    <r>
      <rPr>
        <b/>
        <sz val="10"/>
        <color theme="0"/>
        <rFont val="Tahoma"/>
        <family val="2"/>
        <scheme val="major"/>
      </rPr>
      <t>)</t>
    </r>
  </si>
  <si>
    <r>
      <rPr>
        <b/>
        <sz val="10"/>
        <color theme="0"/>
        <rFont val="Tahoma"/>
        <family val="2"/>
        <scheme val="minor"/>
      </rPr>
      <t>(£29,000 × (excess kg of NO</t>
    </r>
    <r>
      <rPr>
        <b/>
        <vertAlign val="subscript"/>
        <sz val="10"/>
        <color theme="0"/>
        <rFont val="Tahoma"/>
        <family val="2"/>
        <scheme val="minor"/>
      </rPr>
      <t>x</t>
    </r>
    <r>
      <rPr>
        <b/>
        <sz val="10"/>
        <color theme="0"/>
        <rFont val="Tahoma"/>
        <family val="2"/>
        <scheme val="minor"/>
      </rPr>
      <t xml:space="preserve"> / 1,000)) + (£192,456 × (excess kg of PM</t>
    </r>
    <r>
      <rPr>
        <b/>
        <vertAlign val="subscript"/>
        <sz val="10"/>
        <color theme="0"/>
        <rFont val="Tahoma"/>
        <family val="2"/>
        <scheme val="minor"/>
      </rPr>
      <t>10</t>
    </r>
    <r>
      <rPr>
        <b/>
        <sz val="10"/>
        <color theme="0"/>
        <rFont val="Tahoma"/>
        <family val="2"/>
        <scheme val="minor"/>
      </rPr>
      <t xml:space="preserve"> / 1,000))</t>
    </r>
  </si>
  <si>
    <t>Not included in summary</t>
  </si>
  <si>
    <t>There is a reduction of protected open space</t>
  </si>
  <si>
    <t>Calculation</t>
  </si>
  <si>
    <t>0–2</t>
  </si>
  <si>
    <t>3–4</t>
  </si>
  <si>
    <t>5–10</t>
  </si>
  <si>
    <t>11–15</t>
  </si>
  <si>
    <t>16–19</t>
  </si>
  <si>
    <t>20–29</t>
  </si>
  <si>
    <t>30–39</t>
  </si>
  <si>
    <t>40–59</t>
  </si>
  <si>
    <t>60–79</t>
  </si>
  <si>
    <t>0–4</t>
  </si>
  <si>
    <t>Open space provision will be required based on the estimated number of residents:</t>
  </si>
  <si>
    <t>Total Population</t>
  </si>
  <si>
    <t>Children</t>
  </si>
  <si>
    <t>Yield</t>
  </si>
  <si>
    <t>As expected over time, calculated using the Council's population yield calculator</t>
  </si>
  <si>
    <t>May apply</t>
  </si>
  <si>
    <t>Monitoring fee at time of agreement</t>
  </si>
  <si>
    <t>Number of Residents</t>
  </si>
  <si>
    <t>Introduction</t>
  </si>
  <si>
    <t>1.21</t>
  </si>
  <si>
    <t>Negotiating and Monitoring Section 106 Planning Obligations</t>
  </si>
  <si>
    <t>4.10</t>
  </si>
  <si>
    <t>4</t>
  </si>
  <si>
    <t>Employment, Skills, Enterprise and Affordable Business Space</t>
  </si>
  <si>
    <t>Smaller Site Requirements</t>
  </si>
  <si>
    <t>Use of Local Goods, Services, Suppliers and Sub-Contractors by the Developer</t>
  </si>
  <si>
    <t>5 Affordable Housing</t>
  </si>
  <si>
    <t>4.10 Section 106 Monitoring Fee</t>
  </si>
  <si>
    <t>Construction Phase</t>
  </si>
  <si>
    <t>Jobs, training and apprenticeship places</t>
  </si>
  <si>
    <t>End-Use Phase</t>
  </si>
  <si>
    <t>B1a</t>
  </si>
  <si>
    <t>B1b</t>
  </si>
  <si>
    <t>B1c</t>
  </si>
  <si>
    <t>B1 total</t>
  </si>
  <si>
    <t>Financial contribution</t>
  </si>
  <si>
    <t>Average cost of placing Wandsworth residents in jobs, training places and apprenticeships</t>
  </si>
  <si>
    <t>% of employees in Wandsworth requiring training and support</t>
  </si>
  <si>
    <t>As calculated above</t>
  </si>
  <si>
    <t>Contribution</t>
  </si>
  <si>
    <t>Value of development (cost of construction)</t>
  </si>
  <si>
    <t>Number of jobs the scheme entails based on Construction Industry Training Board standards</t>
  </si>
  <si>
    <t>number of jobs × £3,205</t>
  </si>
  <si>
    <t>For sites in Nine Elms a different % will apply</t>
  </si>
  <si>
    <t>7 Arts and Culture</t>
  </si>
  <si>
    <t>An Arts and Culture Action Plan will be provided</t>
  </si>
  <si>
    <t>8 Social Infrastructure</t>
  </si>
  <si>
    <t>The following requirements are based on the indicative thresholds in the Supplementary Planning Document and are subject to an assessment of the existing capacity of public facilities</t>
  </si>
  <si>
    <t>Health</t>
  </si>
  <si>
    <t>Assessed on a case-by-case basis</t>
  </si>
  <si>
    <t>See the Supplementary Planning Document</t>
  </si>
  <si>
    <t>Emergency Services</t>
  </si>
  <si>
    <t>Police</t>
  </si>
  <si>
    <t>Building height</t>
  </si>
  <si>
    <t>m</t>
  </si>
  <si>
    <t>Provision of District Ward Offices</t>
  </si>
  <si>
    <t>Extra Care Housing</t>
  </si>
  <si>
    <t>Extra care or supported housing is proposed</t>
  </si>
  <si>
    <t>Planning Obligation</t>
  </si>
  <si>
    <t>9 Open Space</t>
  </si>
  <si>
    <t>10 Sustainability</t>
  </si>
  <si>
    <t>10.6 Carbon Offsetting</t>
  </si>
  <si>
    <t>10.6</t>
  </si>
  <si>
    <t>10.7 Decentralised Energy Networks</t>
  </si>
  <si>
    <t>10.7</t>
  </si>
  <si>
    <t>Planning obligation or financial contribution required for decentralised energy networks</t>
  </si>
  <si>
    <t>10.8 Biodiversity/Habitats</t>
  </si>
  <si>
    <t>10.8</t>
  </si>
  <si>
    <t>10.11 Flood Risk</t>
  </si>
  <si>
    <t>10.17</t>
  </si>
  <si>
    <t>10.17 Air Quality</t>
  </si>
  <si>
    <t>12 Historic Environment</t>
  </si>
  <si>
    <t>13 CCTV</t>
  </si>
  <si>
    <t>Assuming one resident per non-self-contained or student room</t>
  </si>
  <si>
    <t>Site</t>
  </si>
  <si>
    <t>Site area</t>
  </si>
  <si>
    <t>ha</t>
  </si>
  <si>
    <t>6.12 Employment and Training Opportunities for Large Sites</t>
  </si>
  <si>
    <t>Employment and Training Opportunities for Large Sites</t>
  </si>
  <si>
    <t>Employment and Enterprise Contribution</t>
  </si>
  <si>
    <t>6.12</t>
  </si>
  <si>
    <t>Estimated construction value of the scheme</t>
  </si>
  <si>
    <t>6.14 Use of Local Goods, Services, Suppliers and Sub-Contractors by the Developer</t>
  </si>
  <si>
    <t>6.14</t>
  </si>
  <si>
    <t>Employment and Skills Plan Contribution</t>
  </si>
  <si>
    <t>6.16 Affordable, Flexible and Managed Workspace</t>
  </si>
  <si>
    <t>6.16</t>
  </si>
  <si>
    <t>Public Arts</t>
  </si>
  <si>
    <t>Public Arts Contribution</t>
  </si>
  <si>
    <t>£400 × number of dwellings</t>
  </si>
  <si>
    <t>£20,000 × (non-residential floorspace / 10,000)</t>
  </si>
  <si>
    <t>contribution housing + contribution non-residential</t>
  </si>
  <si>
    <t>Contribution housing</t>
  </si>
  <si>
    <t>Contribution non-residential</t>
  </si>
  <si>
    <t>Contribution total</t>
  </si>
  <si>
    <t>£600 × number of dwellings</t>
  </si>
  <si>
    <t>1.33</t>
  </si>
  <si>
    <t>4.13</t>
  </si>
  <si>
    <t>(square metres of floorspace / 1,000) × 5</t>
  </si>
  <si>
    <t>10.21</t>
  </si>
  <si>
    <t>6.13 Smaller Site Requirements</t>
  </si>
  <si>
    <t>10.21 Street Cleansing—Construction Phase</t>
  </si>
  <si>
    <t>Construction Value</t>
  </si>
  <si>
    <t>Supplementary Planning Document Version: October 2020</t>
  </si>
  <si>
    <t>4.14</t>
  </si>
  <si>
    <t>Employee yield</t>
  </si>
  <si>
    <t>employee yield × % of all jobs in Wandsworth taken by Wandsworth residents</t>
  </si>
  <si>
    <t>Provision of Employment Opportunities for Wandsworth Residents</t>
  </si>
  <si>
    <t>construction phase + end-use phase</t>
  </si>
  <si>
    <t>Provision of employment opportunities for Wandsworth residents</t>
  </si>
  <si>
    <t>A × B × C</t>
  </si>
  <si>
    <t>Refer to Table 4 of the Supplementary Planning Document. Employee yield = gross internal floor area / employee density. Employee density should be based on HCA employment density guidelines or other recognised methodology.</t>
  </si>
  <si>
    <t>zero carbon shortfall (tonnes of carbon dioxide per year) × £95 × 30 years</t>
  </si>
  <si>
    <t>monitoring fee at time of agreement × indexation</t>
  </si>
  <si>
    <t>Calculator Version: 3.2</t>
  </si>
  <si>
    <t>Calculator Version Date: 05/03/2021</t>
  </si>
  <si>
    <t>A + (B × 1.5) + (C × 1.5) + (D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</si>
</sst>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00"/>
  </numFmts>
  <fonts count="48" x14ac:knownFonts="1">
    <font>
      <sz val="10"/>
      <color theme="1"/>
      <name val="Tahoma"/>
      <family val="2"/>
      <scheme val="minor"/>
    </font>
    <font>
      <sz val="10"/>
      <color theme="1"/>
      <name val="Arial"/>
      <family val="2"/>
    </font>
    <font>
      <sz val="10"/>
      <color theme="1"/>
      <name val="Arial"/>
      <family val="2"/>
    </font>
    <font>
      <b/>
      <sz val="10"/>
      <color theme="0"/>
      <name val="Arial"/>
      <family val="2"/>
    </font>
    <font>
      <b/>
      <sz val="10"/>
      <color theme="1"/>
      <name val="Arial"/>
      <family val="2"/>
    </font>
    <font>
      <b/>
      <sz val="9"/>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b/>
      <sz val="10"/>
      <name val="Arial"/>
      <family val="2"/>
    </font>
    <font>
      <sz val="8"/>
      <name val="Arial"/>
      <family val="2"/>
    </font>
    <font>
      <b/>
      <sz val="8"/>
      <name val="Arial"/>
      <family val="2"/>
    </font>
    <font>
      <b/>
      <sz val="8"/>
      <color indexed="10"/>
      <name val="Arial"/>
      <family val="2"/>
    </font>
    <font>
      <b/>
      <sz val="16"/>
      <name val="Arial"/>
      <family val="2"/>
    </font>
    <font>
      <sz val="16"/>
      <name val="Arial"/>
      <family val="2"/>
    </font>
    <font>
      <sz val="14"/>
      <name val="Arial"/>
      <family val="2"/>
    </font>
    <font>
      <sz val="14"/>
      <color indexed="16"/>
      <name val="Arial"/>
      <family val="2"/>
    </font>
    <font>
      <u/>
      <sz val="14"/>
      <color indexed="16"/>
      <name val="Arial"/>
      <family val="2"/>
    </font>
    <font>
      <b/>
      <sz val="14"/>
      <color indexed="18"/>
      <name val="Arial"/>
      <family val="2"/>
    </font>
    <font>
      <b/>
      <sz val="14"/>
      <name val="Arial"/>
      <family val="2"/>
    </font>
    <font>
      <b/>
      <sz val="14"/>
      <color indexed="16"/>
      <name val="Arial"/>
      <family val="2"/>
    </font>
    <font>
      <sz val="12"/>
      <name val="Arial"/>
      <family val="2"/>
    </font>
    <font>
      <b/>
      <sz val="18"/>
      <color indexed="16"/>
      <name val="Arial"/>
      <family val="2"/>
    </font>
    <font>
      <sz val="10"/>
      <name val="Arial"/>
      <family val="2"/>
    </font>
    <font>
      <sz val="10"/>
      <color theme="1"/>
      <name val="Tahoma"/>
      <family val="2"/>
      <scheme val="minor"/>
    </font>
    <font>
      <b/>
      <sz val="15"/>
      <color theme="3"/>
      <name val="Tahoma"/>
      <family val="2"/>
      <scheme val="major"/>
    </font>
    <font>
      <u/>
      <sz val="10"/>
      <color theme="10"/>
      <name val="Tahoma"/>
      <family val="2"/>
      <scheme val="minor"/>
    </font>
    <font>
      <u/>
      <sz val="10"/>
      <color theme="11"/>
      <name val="Tahoma"/>
      <family val="2"/>
      <scheme val="minor"/>
    </font>
    <font>
      <b/>
      <sz val="10"/>
      <color theme="1"/>
      <name val="Tahoma"/>
      <family val="2"/>
      <scheme val="major"/>
    </font>
    <font>
      <b/>
      <sz val="13"/>
      <color theme="3"/>
      <name val="Tahoma"/>
      <family val="2"/>
      <scheme val="major"/>
    </font>
    <font>
      <i/>
      <sz val="10"/>
      <color rgb="FF7F7F7F"/>
      <name val="Tahoma"/>
      <family val="2"/>
      <scheme val="minor"/>
    </font>
    <font>
      <b/>
      <u/>
      <sz val="10"/>
      <color theme="10"/>
      <name val="Tahoma"/>
      <family val="2"/>
      <scheme val="minor"/>
    </font>
    <font>
      <b/>
      <sz val="10"/>
      <color theme="1"/>
      <name val="Tahoma"/>
      <family val="2"/>
      <scheme val="minor"/>
    </font>
    <font>
      <b/>
      <sz val="17"/>
      <color theme="3"/>
      <name val="Tahoma"/>
      <family val="2"/>
      <scheme val="major"/>
    </font>
    <font>
      <b/>
      <sz val="10"/>
      <color theme="0"/>
      <name val="Tahoma"/>
      <family val="2"/>
      <scheme val="minor"/>
    </font>
    <font>
      <sz val="10"/>
      <color theme="0"/>
      <name val="Tahoma"/>
      <family val="2"/>
      <scheme val="minor"/>
    </font>
    <font>
      <b/>
      <sz val="10"/>
      <color theme="3"/>
      <name val="Tahoma"/>
      <family val="2"/>
      <scheme val="major"/>
    </font>
    <font>
      <b/>
      <sz val="10"/>
      <color theme="0"/>
      <name val="Tahoma"/>
      <family val="2"/>
      <scheme val="major"/>
    </font>
    <font>
      <i/>
      <sz val="10"/>
      <color theme="1"/>
      <name val="Tahoma"/>
      <family val="2"/>
      <scheme val="minor"/>
    </font>
    <font>
      <sz val="10"/>
      <color rgb="FF7F7F7F"/>
      <name val="Tahoma"/>
      <family val="2"/>
      <scheme val="minor"/>
    </font>
    <font>
      <b/>
      <vertAlign val="subscript"/>
      <sz val="10"/>
      <color theme="1"/>
      <name val="Tahoma"/>
      <family val="2"/>
      <scheme val="major"/>
    </font>
    <font>
      <b/>
      <vertAlign val="subscript"/>
      <sz val="10"/>
      <color theme="0"/>
      <name val="Tahoma"/>
      <family val="2"/>
      <scheme val="major"/>
    </font>
    <font>
      <b/>
      <vertAlign val="subscript"/>
      <sz val="10"/>
      <color theme="0"/>
      <name val="Tahoma"/>
      <family val="2"/>
      <scheme val="minor"/>
    </font>
  </fonts>
  <fills count="1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indexed="22"/>
        <bgColor indexed="64"/>
      </patternFill>
    </fill>
    <fill>
      <patternFill patternType="solid">
        <fgColor theme="8"/>
        <bgColor indexed="64"/>
      </patternFill>
    </fill>
    <fill>
      <patternFill patternType="solid">
        <fgColor theme="6"/>
        <bgColor indexed="64"/>
      </patternFill>
    </fill>
  </fills>
  <borders count="53">
    <border>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style="thin">
        <color auto="1"/>
      </right>
      <top/>
      <bottom style="medium">
        <color auto="1"/>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top style="medium">
        <color auto="1"/>
      </top>
      <bottom style="thick">
        <color auto="1"/>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medium">
        <color auto="1"/>
      </bottom>
      <diagonal/>
    </border>
    <border>
      <left/>
      <right/>
      <top/>
      <bottom style="thick">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ck">
        <color theme="4"/>
      </bottom>
      <diagonal/>
    </border>
    <border>
      <left/>
      <right style="thin">
        <color theme="3"/>
      </right>
      <top/>
      <bottom style="thick">
        <color theme="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auto="1"/>
      </right>
      <top style="medium">
        <color auto="1"/>
      </top>
      <bottom style="medium">
        <color auto="1"/>
      </bottom>
      <diagonal/>
    </border>
    <border>
      <left/>
      <right/>
      <top style="thick">
        <color auto="1"/>
      </top>
      <bottom style="medium">
        <color auto="1"/>
      </bottom>
      <diagonal/>
    </border>
  </borders>
  <cellStyleXfs count="30">
    <xf numFmtId="0" fontId="0" fillId="2" borderId="0"/>
    <xf numFmtId="0" fontId="38" fillId="0" borderId="0" applyNumberFormat="0" applyFill="0" applyBorder="0" applyAlignment="0" applyProtection="0"/>
    <xf numFmtId="0" fontId="30" fillId="0" borderId="40" applyNumberFormat="0" applyFill="0" applyAlignment="0" applyProtection="0"/>
    <xf numFmtId="0" fontId="34" fillId="0" borderId="0" applyNumberFormat="0" applyFill="0" applyAlignment="0" applyProtection="0"/>
    <xf numFmtId="0" fontId="41" fillId="0" borderId="0" applyNumberFormat="0" applyFill="0" applyAlignment="0" applyProtection="0"/>
    <xf numFmtId="0" fontId="35" fillId="0" borderId="0" applyNumberFormat="0" applyFill="0" applyBorder="0" applyAlignment="0" applyProtection="0">
      <alignment vertical="center" wrapText="1"/>
    </xf>
    <xf numFmtId="0" fontId="1" fillId="14" borderId="0" applyNumberFormat="0" applyFont="0" applyAlignment="0">
      <protection locked="0"/>
    </xf>
    <xf numFmtId="0" fontId="31" fillId="0" borderId="0" applyNumberFormat="0" applyFill="0" applyBorder="0" applyAlignment="0">
      <protection locked="0"/>
    </xf>
    <xf numFmtId="0" fontId="32" fillId="0" borderId="0" applyNumberFormat="0" applyFill="0" applyBorder="0" applyAlignment="0">
      <protection locked="0"/>
    </xf>
    <xf numFmtId="0" fontId="40" fillId="3" borderId="0" applyNumberFormat="0" applyBorder="0" applyAlignment="0" applyProtection="0">
      <alignment horizontal="left"/>
    </xf>
    <xf numFmtId="0" fontId="42" fillId="4" borderId="0" applyNumberFormat="0" applyBorder="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9" applyNumberFormat="0" applyAlignment="0" applyProtection="0"/>
    <xf numFmtId="0" fontId="10" fillId="9" borderId="10" applyNumberFormat="0" applyAlignment="0" applyProtection="0"/>
    <xf numFmtId="0" fontId="11" fillId="9" borderId="9" applyNumberFormat="0" applyAlignment="0" applyProtection="0"/>
    <xf numFmtId="0" fontId="12" fillId="0" borderId="11" applyNumberFormat="0" applyFill="0" applyAlignment="0" applyProtection="0"/>
    <xf numFmtId="0" fontId="3" fillId="10" borderId="12" applyNumberFormat="0" applyAlignment="0" applyProtection="0"/>
    <xf numFmtId="0" fontId="13" fillId="0" borderId="0" applyNumberFormat="0" applyFill="0" applyBorder="0" applyAlignment="0" applyProtection="0"/>
    <xf numFmtId="0" fontId="2" fillId="11" borderId="13" applyNumberFormat="0" applyFont="0" applyAlignment="0" applyProtection="0"/>
    <xf numFmtId="0" fontId="40" fillId="4" borderId="0" applyBorder="0" applyAlignment="0" applyProtection="0"/>
    <xf numFmtId="0" fontId="37" fillId="2" borderId="0" applyNumberFormat="0" applyFill="0" applyBorder="0" applyAlignment="0" applyProtection="0"/>
    <xf numFmtId="0" fontId="2" fillId="15" borderId="0" applyNumberFormat="0" applyFont="0" applyBorder="0" applyAlignment="0" applyProtection="0">
      <alignment vertical="top"/>
    </xf>
    <xf numFmtId="0" fontId="2" fillId="2" borderId="2" applyNumberFormat="0" applyFont="0" applyFill="0" applyProtection="0">
      <alignment horizontal="left" vertical="center" wrapText="1"/>
    </xf>
    <xf numFmtId="0" fontId="2" fillId="2" borderId="0" applyNumberFormat="0" applyFont="0" applyFill="0" applyBorder="0" applyProtection="0">
      <alignment horizontal="left" vertical="center" wrapText="1" indent="1"/>
    </xf>
    <xf numFmtId="0" fontId="2" fillId="2" borderId="0" applyNumberFormat="0" applyFont="0" applyFill="0" applyBorder="0" applyProtection="0">
      <alignment horizontal="left" vertical="center" wrapText="1" indent="2"/>
    </xf>
    <xf numFmtId="0" fontId="33" fillId="2" borderId="1" applyNumberFormat="0" applyFill="0" applyProtection="0">
      <alignment horizontal="left" vertical="center" wrapText="1"/>
    </xf>
    <xf numFmtId="3" fontId="39" fillId="3" borderId="1" applyNumberFormat="0" applyBorder="0" applyAlignment="0" applyProtection="0"/>
  </cellStyleXfs>
  <cellXfs count="445">
    <xf numFmtId="0" fontId="0" fillId="2" borderId="0" xfId="0"/>
    <xf numFmtId="0" fontId="0" fillId="2" borderId="0" xfId="0" applyAlignment="1">
      <alignment horizontal="right"/>
    </xf>
    <xf numFmtId="0" fontId="4" fillId="2" borderId="0" xfId="0" applyFont="1"/>
    <xf numFmtId="0" fontId="34" fillId="2" borderId="0" xfId="3" applyFill="1"/>
    <xf numFmtId="0" fontId="0" fillId="2" borderId="0" xfId="0" quotePrefix="1" applyAlignment="1">
      <alignment horizontal="left" vertical="center" indent="1"/>
    </xf>
    <xf numFmtId="0" fontId="0" fillId="2" borderId="0" xfId="0" quotePrefix="1" applyAlignment="1">
      <alignment horizontal="left" vertical="center"/>
    </xf>
    <xf numFmtId="49" fontId="0" fillId="2" borderId="0" xfId="0" quotePrefix="1" applyNumberFormat="1" applyAlignment="1">
      <alignment horizontal="left" vertical="center"/>
    </xf>
    <xf numFmtId="0" fontId="0" fillId="2" borderId="0" xfId="0" applyAlignment="1">
      <alignment horizontal="left" vertical="center" indent="1"/>
    </xf>
    <xf numFmtId="0" fontId="0" fillId="2" borderId="0" xfId="0" applyAlignment="1">
      <alignment vertical="top" wrapText="1"/>
    </xf>
    <xf numFmtId="0" fontId="0" fillId="2" borderId="0" xfId="0" applyAlignment="1">
      <alignment vertical="top"/>
    </xf>
    <xf numFmtId="0" fontId="35" fillId="2" borderId="0" xfId="5" applyFill="1" applyAlignment="1">
      <alignment vertical="center" wrapText="1"/>
    </xf>
    <xf numFmtId="0" fontId="0" fillId="2" borderId="8" xfId="0" quotePrefix="1" applyBorder="1" applyAlignment="1">
      <alignment horizontal="left" vertical="center"/>
    </xf>
    <xf numFmtId="0" fontId="0" fillId="2" borderId="4" xfId="0" quotePrefix="1" applyBorder="1" applyAlignment="1">
      <alignment horizontal="left" vertical="center"/>
    </xf>
    <xf numFmtId="0" fontId="14" fillId="2" borderId="0" xfId="0" applyFont="1"/>
    <xf numFmtId="0" fontId="15" fillId="2" borderId="0" xfId="0" applyFont="1"/>
    <xf numFmtId="0" fontId="16" fillId="2" borderId="0" xfId="0" applyFont="1"/>
    <xf numFmtId="0" fontId="15" fillId="0" borderId="0" xfId="0" applyFont="1" applyFill="1"/>
    <xf numFmtId="0" fontId="16" fillId="0" borderId="18" xfId="0" applyFont="1" applyFill="1" applyBorder="1"/>
    <xf numFmtId="0" fontId="16" fillId="0" borderId="18" xfId="0" applyFont="1" applyFill="1" applyBorder="1" applyAlignment="1">
      <alignment horizontal="right"/>
    </xf>
    <xf numFmtId="0" fontId="16" fillId="0" borderId="19" xfId="0" applyFont="1" applyFill="1" applyBorder="1"/>
    <xf numFmtId="4" fontId="15" fillId="0" borderId="20" xfId="0" applyNumberFormat="1" applyFont="1" applyFill="1" applyBorder="1"/>
    <xf numFmtId="0" fontId="16" fillId="0" borderId="19" xfId="0" quotePrefix="1" applyFont="1" applyFill="1" applyBorder="1"/>
    <xf numFmtId="0" fontId="16" fillId="0" borderId="17" xfId="0" applyFont="1" applyFill="1" applyBorder="1"/>
    <xf numFmtId="4" fontId="16" fillId="0" borderId="18" xfId="0" applyNumberFormat="1" applyFont="1" applyFill="1" applyBorder="1"/>
    <xf numFmtId="2" fontId="16" fillId="0" borderId="18" xfId="0" applyNumberFormat="1" applyFont="1" applyFill="1" applyBorder="1"/>
    <xf numFmtId="0" fontId="16" fillId="0" borderId="0" xfId="0" applyFont="1" applyFill="1"/>
    <xf numFmtId="0" fontId="16" fillId="2" borderId="19" xfId="0" applyFont="1" applyBorder="1"/>
    <xf numFmtId="0" fontId="16" fillId="2" borderId="19" xfId="0" quotePrefix="1" applyFont="1" applyBorder="1"/>
    <xf numFmtId="0" fontId="16" fillId="2" borderId="17" xfId="0" applyFont="1" applyBorder="1"/>
    <xf numFmtId="0" fontId="16" fillId="2" borderId="18" xfId="0" applyFont="1" applyBorder="1"/>
    <xf numFmtId="4" fontId="16" fillId="2" borderId="18" xfId="0" applyNumberFormat="1" applyFont="1" applyBorder="1"/>
    <xf numFmtId="0" fontId="18" fillId="12" borderId="0" xfId="0" applyFont="1" applyFill="1"/>
    <xf numFmtId="0" fontId="19" fillId="2" borderId="0" xfId="0" applyFont="1"/>
    <xf numFmtId="0" fontId="19" fillId="12" borderId="0" xfId="0" applyFont="1" applyFill="1"/>
    <xf numFmtId="0" fontId="20" fillId="12" borderId="0" xfId="0" applyFont="1" applyFill="1"/>
    <xf numFmtId="0" fontId="21" fillId="12" borderId="0" xfId="0" applyFont="1" applyFill="1"/>
    <xf numFmtId="0" fontId="22" fillId="12" borderId="0" xfId="0" applyFont="1" applyFill="1"/>
    <xf numFmtId="0" fontId="23" fillId="12" borderId="0" xfId="0" applyFont="1" applyFill="1"/>
    <xf numFmtId="0" fontId="23" fillId="12" borderId="0" xfId="0" applyFont="1" applyFill="1" applyAlignment="1">
      <alignment horizontal="center"/>
    </xf>
    <xf numFmtId="9" fontId="23" fillId="12" borderId="0" xfId="0" applyNumberFormat="1" applyFont="1" applyFill="1" applyAlignment="1">
      <alignment horizontal="center"/>
    </xf>
    <xf numFmtId="0" fontId="24" fillId="13" borderId="18" xfId="0" applyFont="1" applyFill="1" applyBorder="1"/>
    <xf numFmtId="0" fontId="20" fillId="13" borderId="18" xfId="0" applyFont="1" applyFill="1" applyBorder="1"/>
    <xf numFmtId="0" fontId="24" fillId="13" borderId="18" xfId="0" applyFont="1" applyFill="1" applyBorder="1" applyAlignment="1">
      <alignment horizontal="right"/>
    </xf>
    <xf numFmtId="0" fontId="20" fillId="13" borderId="18" xfId="0" applyFont="1" applyFill="1" applyBorder="1" applyAlignment="1">
      <alignment horizontal="left"/>
    </xf>
    <xf numFmtId="0" fontId="20" fillId="12" borderId="0" xfId="0" applyFont="1" applyFill="1" applyAlignment="1">
      <alignment horizontal="left"/>
    </xf>
    <xf numFmtId="0" fontId="26" fillId="12" borderId="0" xfId="0" applyFont="1" applyFill="1"/>
    <xf numFmtId="3" fontId="18" fillId="13" borderId="18" xfId="0" applyNumberFormat="1" applyFont="1" applyFill="1" applyBorder="1"/>
    <xf numFmtId="0" fontId="18" fillId="13" borderId="18" xfId="0" applyFont="1" applyFill="1" applyBorder="1"/>
    <xf numFmtId="2" fontId="19" fillId="2" borderId="18" xfId="0" applyNumberFormat="1" applyFont="1" applyBorder="1"/>
    <xf numFmtId="0" fontId="18" fillId="13" borderId="18" xfId="0" quotePrefix="1" applyFont="1" applyFill="1" applyBorder="1"/>
    <xf numFmtId="0" fontId="18" fillId="13" borderId="18" xfId="0" applyFont="1" applyFill="1" applyBorder="1" applyAlignment="1">
      <alignment horizontal="right"/>
    </xf>
    <xf numFmtId="0" fontId="18" fillId="13" borderId="18" xfId="0" applyFont="1" applyFill="1" applyBorder="1" applyAlignment="1">
      <alignment horizontal="left"/>
    </xf>
    <xf numFmtId="2" fontId="19" fillId="0" borderId="18" xfId="0" applyNumberFormat="1" applyFont="1" applyFill="1" applyBorder="1"/>
    <xf numFmtId="0" fontId="27" fillId="12" borderId="0" xfId="0" applyFont="1" applyFill="1" applyAlignment="1">
      <alignment horizontal="center"/>
    </xf>
    <xf numFmtId="0" fontId="16" fillId="2" borderId="18" xfId="0" applyFont="1" applyBorder="1" applyAlignment="1">
      <alignment horizontal="right"/>
    </xf>
    <xf numFmtId="3" fontId="21" fillId="0" borderId="18" xfId="0" applyNumberFormat="1" applyFont="1" applyFill="1" applyBorder="1" applyProtection="1">
      <protection locked="0"/>
    </xf>
    <xf numFmtId="0" fontId="0" fillId="2" borderId="0" xfId="0" applyAlignment="1">
      <alignment horizontal="center"/>
    </xf>
    <xf numFmtId="0" fontId="0" fillId="2" borderId="22" xfId="0" applyBorder="1"/>
    <xf numFmtId="0" fontId="0" fillId="2" borderId="6" xfId="0" applyBorder="1"/>
    <xf numFmtId="0" fontId="0" fillId="2" borderId="1" xfId="0" applyBorder="1"/>
    <xf numFmtId="0" fontId="0" fillId="2" borderId="6" xfId="0" applyBorder="1" applyAlignment="1">
      <alignment vertical="center"/>
    </xf>
    <xf numFmtId="0" fontId="4" fillId="2" borderId="3" xfId="0" applyFont="1" applyBorder="1" applyAlignment="1">
      <alignment wrapText="1"/>
    </xf>
    <xf numFmtId="0" fontId="0" fillId="2" borderId="2" xfId="0" applyBorder="1"/>
    <xf numFmtId="0" fontId="37" fillId="2" borderId="0" xfId="23"/>
    <xf numFmtId="0" fontId="0" fillId="2" borderId="0" xfId="0" applyAlignment="1">
      <alignment horizontal="left"/>
    </xf>
    <xf numFmtId="0" fontId="0" fillId="2" borderId="8" xfId="0" applyBorder="1" applyAlignment="1">
      <alignment horizontal="left"/>
    </xf>
    <xf numFmtId="0" fontId="0" fillId="2" borderId="7" xfId="0" applyBorder="1" applyAlignment="1">
      <alignment horizontal="left"/>
    </xf>
    <xf numFmtId="0" fontId="0" fillId="2" borderId="4" xfId="0" applyBorder="1" applyAlignment="1">
      <alignment horizontal="left"/>
    </xf>
    <xf numFmtId="0" fontId="4" fillId="2" borderId="0" xfId="0" applyFont="1" applyAlignment="1">
      <alignment horizontal="left"/>
    </xf>
    <xf numFmtId="0" fontId="0" fillId="2" borderId="0" xfId="0" applyAlignment="1">
      <alignment horizontal="center" vertical="center"/>
    </xf>
    <xf numFmtId="0" fontId="33" fillId="2" borderId="1" xfId="28">
      <alignment horizontal="left" vertical="center" wrapText="1"/>
    </xf>
    <xf numFmtId="0" fontId="4" fillId="2" borderId="1" xfId="0" applyFont="1" applyBorder="1" applyAlignment="1">
      <alignment horizontal="center"/>
    </xf>
    <xf numFmtId="0" fontId="31" fillId="2" borderId="8" xfId="7" applyFill="1" applyBorder="1" applyAlignment="1">
      <alignment horizontal="center"/>
      <protection locked="0"/>
    </xf>
    <xf numFmtId="0" fontId="31" fillId="2" borderId="6" xfId="7" applyFill="1" applyBorder="1" applyAlignment="1">
      <alignment horizontal="center"/>
      <protection locked="0"/>
    </xf>
    <xf numFmtId="0" fontId="31" fillId="2" borderId="22" xfId="7" applyFill="1" applyBorder="1" applyAlignment="1">
      <alignment horizontal="center"/>
      <protection locked="0"/>
    </xf>
    <xf numFmtId="0" fontId="31" fillId="2" borderId="2" xfId="7" applyFill="1" applyBorder="1" applyAlignment="1">
      <alignment horizontal="center"/>
      <protection locked="0"/>
    </xf>
    <xf numFmtId="0" fontId="31" fillId="2" borderId="8" xfId="7" applyFill="1" applyBorder="1" applyAlignment="1">
      <alignment horizontal="center" vertical="center"/>
      <protection locked="0"/>
    </xf>
    <xf numFmtId="0" fontId="31" fillId="2" borderId="4" xfId="7" applyFill="1" applyBorder="1" applyAlignment="1">
      <alignment horizontal="center" vertical="center"/>
      <protection locked="0"/>
    </xf>
    <xf numFmtId="0" fontId="0" fillId="2" borderId="0" xfId="25" applyFont="1" applyBorder="1">
      <alignment horizontal="left" vertical="center" wrapText="1"/>
    </xf>
    <xf numFmtId="0" fontId="0" fillId="2" borderId="8" xfId="26" quotePrefix="1" applyFont="1" applyBorder="1">
      <alignment horizontal="left" vertical="center" wrapText="1" indent="1"/>
    </xf>
    <xf numFmtId="0" fontId="0" fillId="2" borderId="4" xfId="26" quotePrefix="1" applyFont="1" applyBorder="1">
      <alignment horizontal="left" vertical="center" wrapText="1" indent="1"/>
    </xf>
    <xf numFmtId="0" fontId="0" fillId="2" borderId="7" xfId="25" quotePrefix="1" applyFont="1" applyBorder="1">
      <alignment horizontal="left" vertical="center" wrapText="1"/>
    </xf>
    <xf numFmtId="0" fontId="0" fillId="2" borderId="36" xfId="25" quotePrefix="1" applyFont="1" applyBorder="1">
      <alignment horizontal="left" vertical="center" wrapText="1"/>
    </xf>
    <xf numFmtId="3" fontId="0" fillId="14" borderId="8" xfId="6" applyNumberFormat="1" applyFont="1" applyBorder="1">
      <protection locked="0"/>
    </xf>
    <xf numFmtId="3" fontId="0" fillId="14" borderId="7" xfId="6" applyNumberFormat="1" applyFont="1" applyBorder="1">
      <protection locked="0"/>
    </xf>
    <xf numFmtId="0" fontId="0" fillId="2" borderId="7" xfId="0" applyBorder="1"/>
    <xf numFmtId="0" fontId="4" fillId="2" borderId="1" xfId="0" applyFont="1" applyBorder="1"/>
    <xf numFmtId="3" fontId="0" fillId="14" borderId="6" xfId="6" applyNumberFormat="1" applyFont="1" applyBorder="1">
      <protection locked="0"/>
    </xf>
    <xf numFmtId="0" fontId="35" fillId="2" borderId="0" xfId="5" applyFill="1" applyAlignment="1">
      <alignment vertical="center"/>
    </xf>
    <xf numFmtId="3" fontId="0" fillId="14" borderId="22" xfId="6" applyNumberFormat="1" applyFont="1" applyBorder="1">
      <protection locked="0"/>
    </xf>
    <xf numFmtId="0" fontId="0" fillId="2" borderId="41" xfId="0" applyBorder="1"/>
    <xf numFmtId="0" fontId="0" fillId="2" borderId="42" xfId="0" applyBorder="1"/>
    <xf numFmtId="0" fontId="0" fillId="2" borderId="43" xfId="0" applyBorder="1"/>
    <xf numFmtId="0" fontId="0" fillId="2" borderId="44" xfId="0" applyBorder="1"/>
    <xf numFmtId="0" fontId="0" fillId="2" borderId="45" xfId="0" applyBorder="1"/>
    <xf numFmtId="0" fontId="30" fillId="2" borderId="46" xfId="2" applyFill="1" applyBorder="1"/>
    <xf numFmtId="0" fontId="30" fillId="2" borderId="40" xfId="2" applyFill="1"/>
    <xf numFmtId="0" fontId="30" fillId="2" borderId="47" xfId="2" applyFill="1" applyBorder="1"/>
    <xf numFmtId="0" fontId="0" fillId="2" borderId="0" xfId="0" quotePrefix="1"/>
    <xf numFmtId="0" fontId="37" fillId="2" borderId="0" xfId="23" applyFill="1" applyBorder="1"/>
    <xf numFmtId="0" fontId="37" fillId="2" borderId="0" xfId="23" quotePrefix="1" applyFill="1" applyBorder="1"/>
    <xf numFmtId="0" fontId="0" fillId="2" borderId="48" xfId="0" applyBorder="1"/>
    <xf numFmtId="0" fontId="0" fillId="2" borderId="49" xfId="0" applyBorder="1"/>
    <xf numFmtId="0" fontId="0" fillId="2" borderId="50" xfId="0" applyBorder="1"/>
    <xf numFmtId="0" fontId="30" fillId="2" borderId="40" xfId="2" applyFill="1" applyAlignment="1"/>
    <xf numFmtId="0" fontId="0" fillId="2" borderId="42" xfId="0" applyBorder="1" applyAlignment="1">
      <alignment horizontal="center"/>
    </xf>
    <xf numFmtId="0" fontId="30" fillId="2" borderId="40" xfId="2" applyFill="1" applyAlignment="1">
      <alignment horizontal="left"/>
    </xf>
    <xf numFmtId="0" fontId="0" fillId="2" borderId="0" xfId="0" quotePrefix="1" applyAlignment="1">
      <alignment horizontal="left" vertical="top"/>
    </xf>
    <xf numFmtId="0" fontId="0" fillId="2" borderId="0" xfId="0" applyAlignment="1">
      <alignment horizontal="left" vertical="top"/>
    </xf>
    <xf numFmtId="0" fontId="0" fillId="2" borderId="49" xfId="0" applyBorder="1" applyAlignment="1">
      <alignment horizontal="center"/>
    </xf>
    <xf numFmtId="0" fontId="34" fillId="2" borderId="42" xfId="3" applyFill="1" applyBorder="1" applyAlignment="1">
      <alignment horizontal="left" vertical="top"/>
    </xf>
    <xf numFmtId="0" fontId="0" fillId="2" borderId="42" xfId="0" applyBorder="1" applyAlignment="1">
      <alignment vertical="top" wrapText="1"/>
    </xf>
    <xf numFmtId="0" fontId="34" fillId="2" borderId="42" xfId="3" quotePrefix="1" applyFill="1" applyBorder="1" applyAlignment="1">
      <alignment horizontal="left" vertical="top"/>
    </xf>
    <xf numFmtId="0" fontId="34" fillId="2" borderId="42" xfId="3" applyFill="1" applyBorder="1" applyAlignment="1">
      <alignment vertical="top" wrapText="1"/>
    </xf>
    <xf numFmtId="0" fontId="0" fillId="14" borderId="0" xfId="6" applyFont="1" applyAlignment="1">
      <alignment horizontal="left"/>
      <protection locked="0"/>
    </xf>
    <xf numFmtId="0" fontId="0" fillId="14" borderId="0" xfId="6" applyFont="1" applyAlignment="1">
      <alignment horizontal="left" vertical="top" wrapText="1"/>
      <protection locked="0"/>
    </xf>
    <xf numFmtId="14" fontId="0" fillId="14" borderId="0" xfId="6" applyNumberFormat="1" applyFont="1" applyAlignment="1">
      <alignment horizontal="left"/>
      <protection locked="0"/>
    </xf>
    <xf numFmtId="0" fontId="34" fillId="2" borderId="45" xfId="3" applyFill="1" applyBorder="1"/>
    <xf numFmtId="0" fontId="35" fillId="2" borderId="0" xfId="5" applyFill="1" applyBorder="1">
      <alignment vertical="center" wrapText="1"/>
    </xf>
    <xf numFmtId="0" fontId="41" fillId="2" borderId="0" xfId="4" applyFill="1"/>
    <xf numFmtId="0" fontId="0" fillId="14" borderId="0" xfId="6" applyFont="1" applyAlignment="1">
      <alignment vertical="center"/>
      <protection locked="0"/>
    </xf>
    <xf numFmtId="0" fontId="35" fillId="2" borderId="0" xfId="5" applyFill="1" applyBorder="1" applyAlignment="1">
      <alignment vertical="center" wrapText="1"/>
    </xf>
    <xf numFmtId="0" fontId="35" fillId="2" borderId="0" xfId="5" quotePrefix="1" applyFill="1" applyBorder="1" applyAlignment="1">
      <alignment vertical="top" wrapText="1"/>
    </xf>
    <xf numFmtId="0" fontId="0" fillId="2" borderId="0" xfId="0" applyAlignment="1">
      <alignment vertical="center"/>
    </xf>
    <xf numFmtId="0" fontId="35" fillId="2" borderId="45" xfId="5" applyFill="1" applyBorder="1" applyAlignment="1">
      <alignment vertical="center" wrapText="1"/>
    </xf>
    <xf numFmtId="0" fontId="0" fillId="2" borderId="0" xfId="0" applyAlignment="1">
      <alignment vertical="center" wrapText="1"/>
    </xf>
    <xf numFmtId="0" fontId="41" fillId="2" borderId="0" xfId="4" applyFill="1" applyAlignment="1">
      <alignment vertical="center"/>
    </xf>
    <xf numFmtId="0" fontId="34" fillId="2" borderId="42" xfId="3" applyFill="1" applyBorder="1"/>
    <xf numFmtId="0" fontId="34" fillId="2" borderId="43" xfId="3" applyFill="1" applyBorder="1"/>
    <xf numFmtId="49" fontId="37" fillId="2" borderId="0" xfId="0" applyNumberFormat="1" applyFont="1" applyAlignment="1">
      <alignment horizontal="right" vertical="center"/>
    </xf>
    <xf numFmtId="49" fontId="37" fillId="2" borderId="0" xfId="0" applyNumberFormat="1" applyFont="1" applyAlignment="1">
      <alignment horizontal="right" vertical="center" wrapText="1"/>
    </xf>
    <xf numFmtId="3" fontId="39" fillId="3" borderId="7" xfId="9" applyNumberFormat="1" applyFont="1" applyBorder="1" applyAlignment="1"/>
    <xf numFmtId="3" fontId="39" fillId="3" borderId="8" xfId="9" applyNumberFormat="1" applyFont="1" applyBorder="1" applyAlignment="1"/>
    <xf numFmtId="3" fontId="39" fillId="3" borderId="6" xfId="9" applyNumberFormat="1" applyFont="1" applyBorder="1" applyAlignment="1"/>
    <xf numFmtId="3" fontId="40" fillId="3" borderId="1" xfId="9" applyNumberFormat="1" applyBorder="1" applyAlignment="1"/>
    <xf numFmtId="3" fontId="39" fillId="3" borderId="1" xfId="9" applyNumberFormat="1" applyFont="1" applyBorder="1" applyAlignment="1"/>
    <xf numFmtId="3" fontId="39" fillId="3" borderId="22" xfId="9" applyNumberFormat="1" applyFont="1" applyBorder="1" applyAlignment="1"/>
    <xf numFmtId="3" fontId="39" fillId="3" borderId="3" xfId="9" applyNumberFormat="1" applyFont="1" applyBorder="1" applyAlignment="1"/>
    <xf numFmtId="3" fontId="40" fillId="3" borderId="0" xfId="9" applyNumberFormat="1" applyBorder="1" applyAlignment="1">
      <alignment horizontal="center"/>
    </xf>
    <xf numFmtId="0" fontId="40" fillId="3" borderId="0" xfId="9" applyBorder="1" applyAlignment="1"/>
    <xf numFmtId="0" fontId="41" fillId="2" borderId="0" xfId="4" applyFill="1" applyAlignment="1"/>
    <xf numFmtId="0" fontId="42" fillId="4" borderId="0" xfId="10" applyBorder="1" applyAlignment="1">
      <alignment horizontal="center"/>
    </xf>
    <xf numFmtId="0" fontId="40" fillId="4" borderId="0" xfId="22" applyBorder="1" applyAlignment="1">
      <alignment horizontal="center"/>
    </xf>
    <xf numFmtId="0" fontId="40" fillId="4" borderId="0" xfId="22" applyBorder="1" applyAlignment="1"/>
    <xf numFmtId="0" fontId="40" fillId="3" borderId="0" xfId="9" applyBorder="1" applyAlignment="1">
      <alignment horizontal="center"/>
    </xf>
    <xf numFmtId="0" fontId="0" fillId="2" borderId="45" xfId="0" quotePrefix="1" applyBorder="1"/>
    <xf numFmtId="0" fontId="0" fillId="14" borderId="0" xfId="6" applyFont="1">
      <protection locked="0"/>
    </xf>
    <xf numFmtId="0" fontId="42" fillId="4" borderId="0" xfId="10" applyBorder="1"/>
    <xf numFmtId="0" fontId="40" fillId="4" borderId="0" xfId="22" applyBorder="1"/>
    <xf numFmtId="0" fontId="35" fillId="2" borderId="0" xfId="5" applyFill="1" applyBorder="1" applyAlignment="1"/>
    <xf numFmtId="3" fontId="40" fillId="3" borderId="0" xfId="9" applyNumberFormat="1" applyBorder="1" applyAlignment="1"/>
    <xf numFmtId="2" fontId="0" fillId="14" borderId="0" xfId="6" applyNumberFormat="1" applyFont="1">
      <protection locked="0"/>
    </xf>
    <xf numFmtId="0" fontId="0" fillId="14" borderId="0" xfId="6" applyFont="1" applyAlignment="1">
      <alignment horizontal="center"/>
      <protection locked="0"/>
    </xf>
    <xf numFmtId="0" fontId="35" fillId="2" borderId="45" xfId="5" applyFill="1" applyBorder="1" applyAlignment="1">
      <alignment vertical="center"/>
    </xf>
    <xf numFmtId="0" fontId="28" fillId="15" borderId="0" xfId="24" applyFont="1" applyBorder="1" applyAlignment="1"/>
    <xf numFmtId="0" fontId="28" fillId="15" borderId="0" xfId="24" applyFont="1" applyBorder="1" applyAlignment="1">
      <alignment horizontal="center"/>
    </xf>
    <xf numFmtId="0" fontId="41" fillId="2" borderId="0" xfId="4" applyFill="1" applyAlignment="1">
      <alignment horizontal="left"/>
    </xf>
    <xf numFmtId="0" fontId="0" fillId="2" borderId="45" xfId="0" applyBorder="1" applyAlignment="1">
      <alignment horizontal="right"/>
    </xf>
    <xf numFmtId="0" fontId="0" fillId="2" borderId="42" xfId="0" applyBorder="1" applyAlignment="1">
      <alignment horizontal="center" vertical="center"/>
    </xf>
    <xf numFmtId="0" fontId="30" fillId="2" borderId="40" xfId="2" applyFill="1" applyAlignment="1">
      <alignment horizontal="center" vertical="center"/>
    </xf>
    <xf numFmtId="0" fontId="0" fillId="2" borderId="2" xfId="25" quotePrefix="1" applyFont="1">
      <alignment horizontal="left" vertical="center" wrapText="1"/>
    </xf>
    <xf numFmtId="0" fontId="0" fillId="2" borderId="49" xfId="0" applyBorder="1" applyAlignment="1">
      <alignment horizontal="center" vertical="center"/>
    </xf>
    <xf numFmtId="0" fontId="0" fillId="2" borderId="8" xfId="0" applyBorder="1"/>
    <xf numFmtId="0" fontId="35" fillId="2" borderId="0" xfId="5" applyFill="1" applyBorder="1" applyAlignment="1">
      <alignment wrapText="1"/>
    </xf>
    <xf numFmtId="0" fontId="37" fillId="2" borderId="1" xfId="0" applyFont="1" applyBorder="1"/>
    <xf numFmtId="3" fontId="40" fillId="3" borderId="7" xfId="9" applyNumberFormat="1" applyBorder="1" applyAlignment="1"/>
    <xf numFmtId="0" fontId="0" fillId="2" borderId="4" xfId="0" applyBorder="1"/>
    <xf numFmtId="0" fontId="33" fillId="2" borderId="1" xfId="28" applyAlignment="1">
      <alignment horizontal="right" vertical="center" wrapText="1"/>
    </xf>
    <xf numFmtId="0" fontId="33" fillId="2" borderId="2" xfId="28" applyBorder="1" applyAlignment="1">
      <alignment vertical="center" wrapText="1"/>
    </xf>
    <xf numFmtId="0" fontId="33" fillId="2" borderId="2" xfId="28" applyBorder="1">
      <alignment horizontal="left" vertical="center" wrapText="1"/>
    </xf>
    <xf numFmtId="3" fontId="40" fillId="3" borderId="7" xfId="9" applyNumberFormat="1" applyBorder="1" applyAlignment="1">
      <alignment horizontal="right"/>
    </xf>
    <xf numFmtId="3" fontId="40" fillId="3" borderId="8" xfId="9" applyNumberFormat="1" applyBorder="1" applyAlignment="1">
      <alignment horizontal="right"/>
    </xf>
    <xf numFmtId="3" fontId="40" fillId="3" borderId="4" xfId="9" applyNumberFormat="1" applyBorder="1" applyAlignment="1">
      <alignment horizontal="right"/>
    </xf>
    <xf numFmtId="3" fontId="39" fillId="3" borderId="1" xfId="29" applyNumberFormat="1" applyBorder="1" applyAlignment="1">
      <alignment horizontal="right"/>
    </xf>
    <xf numFmtId="3" fontId="40" fillId="3" borderId="8" xfId="9" applyNumberFormat="1" applyBorder="1" applyAlignment="1"/>
    <xf numFmtId="3" fontId="40" fillId="3" borderId="4" xfId="9" applyNumberFormat="1" applyBorder="1" applyAlignment="1"/>
    <xf numFmtId="3" fontId="39" fillId="3" borderId="1" xfId="29" applyNumberFormat="1" applyBorder="1"/>
    <xf numFmtId="165" fontId="40" fillId="3" borderId="0" xfId="9" applyNumberFormat="1" applyBorder="1" applyAlignment="1" applyProtection="1">
      <alignment horizontal="left"/>
    </xf>
    <xf numFmtId="164" fontId="40" fillId="3" borderId="0" xfId="9" applyNumberFormat="1" applyBorder="1" applyAlignment="1">
      <alignment horizontal="left"/>
    </xf>
    <xf numFmtId="0" fontId="42" fillId="4" borderId="0" xfId="10" applyBorder="1" applyAlignment="1">
      <alignment horizontal="center" vertical="center"/>
    </xf>
    <xf numFmtId="0" fontId="42" fillId="4" borderId="0" xfId="10" applyBorder="1" applyAlignment="1">
      <alignment horizontal="center" vertical="center" wrapText="1"/>
    </xf>
    <xf numFmtId="0" fontId="40" fillId="4" borderId="0" xfId="22" applyBorder="1" applyAlignment="1">
      <alignment vertical="center" wrapText="1"/>
    </xf>
    <xf numFmtId="0" fontId="40" fillId="4" borderId="0" xfId="22" applyBorder="1" applyAlignment="1">
      <alignment horizontal="center" vertical="center" wrapText="1"/>
    </xf>
    <xf numFmtId="164" fontId="40" fillId="3" borderId="0" xfId="9" applyNumberFormat="1" applyBorder="1" applyAlignment="1">
      <alignment horizontal="center"/>
    </xf>
    <xf numFmtId="166" fontId="40" fillId="3" borderId="7" xfId="9" applyNumberFormat="1" applyBorder="1" applyAlignment="1">
      <alignment horizontal="center"/>
    </xf>
    <xf numFmtId="164" fontId="40" fillId="3" borderId="8" xfId="9" applyNumberFormat="1" applyBorder="1" applyAlignment="1">
      <alignment horizontal="center"/>
    </xf>
    <xf numFmtId="9" fontId="40" fillId="3" borderId="4" xfId="9" applyNumberFormat="1" applyBorder="1" applyAlignment="1">
      <alignment horizontal="center"/>
    </xf>
    <xf numFmtId="166" fontId="0" fillId="14" borderId="0" xfId="6" applyNumberFormat="1" applyFont="1">
      <protection locked="0"/>
    </xf>
    <xf numFmtId="166" fontId="0" fillId="14" borderId="0" xfId="6" applyNumberFormat="1" applyFont="1" applyAlignment="1">
      <alignment horizontal="center"/>
      <protection locked="0"/>
    </xf>
    <xf numFmtId="0" fontId="0" fillId="2" borderId="22" xfId="26" quotePrefix="1" applyFont="1" applyBorder="1" applyAlignment="1">
      <alignment horizontal="left" vertical="center" wrapText="1"/>
    </xf>
    <xf numFmtId="0" fontId="0" fillId="2" borderId="6" xfId="0" quotePrefix="1" applyBorder="1" applyAlignment="1">
      <alignment horizontal="left" indent="1"/>
    </xf>
    <xf numFmtId="0" fontId="0" fillId="2" borderId="6" xfId="0" quotePrefix="1" applyBorder="1" applyAlignment="1">
      <alignment horizontal="left" vertical="center" indent="1"/>
    </xf>
    <xf numFmtId="0" fontId="0" fillId="2" borderId="8" xfId="0" quotePrefix="1" applyBorder="1" applyAlignment="1">
      <alignment horizontal="left" indent="1"/>
    </xf>
    <xf numFmtId="0" fontId="0" fillId="2" borderId="4" xfId="0" quotePrefix="1" applyBorder="1" applyAlignment="1">
      <alignment horizontal="left" indent="1"/>
    </xf>
    <xf numFmtId="0" fontId="0" fillId="2" borderId="0" xfId="0" applyAlignment="1">
      <alignment horizontal="left" indent="1"/>
    </xf>
    <xf numFmtId="0" fontId="0" fillId="2" borderId="6" xfId="0" quotePrefix="1" applyBorder="1" applyAlignment="1">
      <alignment horizontal="left" vertical="center"/>
    </xf>
    <xf numFmtId="0" fontId="0" fillId="2" borderId="22" xfId="0" quotePrefix="1" applyBorder="1" applyAlignment="1">
      <alignment horizontal="left" vertical="center"/>
    </xf>
    <xf numFmtId="0" fontId="42" fillId="4" borderId="0" xfId="10" applyBorder="1" applyAlignment="1">
      <alignment vertical="center"/>
    </xf>
    <xf numFmtId="167" fontId="0" fillId="14" borderId="0" xfId="6" applyNumberFormat="1" applyFont="1">
      <protection locked="0"/>
    </xf>
    <xf numFmtId="0" fontId="0" fillId="2" borderId="0" xfId="0" quotePrefix="1" applyAlignment="1">
      <alignment horizontal="left" indent="1"/>
    </xf>
    <xf numFmtId="0" fontId="37" fillId="2" borderId="0" xfId="23" applyFill="1" applyBorder="1" applyAlignment="1">
      <alignment horizontal="left"/>
    </xf>
    <xf numFmtId="0" fontId="42" fillId="4" borderId="0" xfId="10" applyBorder="1" applyAlignment="1"/>
    <xf numFmtId="0" fontId="38" fillId="2" borderId="0" xfId="1" applyFill="1" applyBorder="1" applyAlignment="1">
      <alignment wrapText="1"/>
    </xf>
    <xf numFmtId="0" fontId="36" fillId="2" borderId="0" xfId="7" applyFont="1" applyFill="1" applyBorder="1">
      <protection locked="0"/>
    </xf>
    <xf numFmtId="0" fontId="29" fillId="2" borderId="0" xfId="0" applyFont="1"/>
    <xf numFmtId="0" fontId="33" fillId="2" borderId="1" xfId="0" applyFont="1" applyBorder="1" applyAlignment="1">
      <alignment vertical="center"/>
    </xf>
    <xf numFmtId="0" fontId="35" fillId="2" borderId="0" xfId="5" applyFill="1" applyBorder="1" applyAlignment="1">
      <alignment vertical="center"/>
    </xf>
    <xf numFmtId="0" fontId="31" fillId="2" borderId="8" xfId="7" applyFill="1" applyBorder="1" applyAlignment="1">
      <alignment vertical="center"/>
      <protection locked="0"/>
    </xf>
    <xf numFmtId="0" fontId="31" fillId="2" borderId="4" xfId="7" applyFill="1" applyBorder="1" applyAlignment="1">
      <alignment vertical="center"/>
      <protection locked="0"/>
    </xf>
    <xf numFmtId="0" fontId="31" fillId="2" borderId="0" xfId="7" applyFill="1" applyBorder="1" applyAlignment="1">
      <alignment vertical="center"/>
      <protection locked="0"/>
    </xf>
    <xf numFmtId="0" fontId="31" fillId="2" borderId="22" xfId="7" applyFill="1" applyBorder="1" applyAlignment="1">
      <alignment vertical="center"/>
      <protection locked="0"/>
    </xf>
    <xf numFmtId="0" fontId="31" fillId="2" borderId="6" xfId="7" applyFill="1" applyBorder="1" applyAlignment="1">
      <alignment vertical="center"/>
      <protection locked="0"/>
    </xf>
    <xf numFmtId="0" fontId="31" fillId="2" borderId="0" xfId="7" applyFill="1" applyBorder="1">
      <protection locked="0"/>
    </xf>
    <xf numFmtId="0" fontId="35" fillId="2" borderId="8" xfId="5" applyFill="1" applyBorder="1" applyAlignment="1">
      <alignment vertical="center"/>
    </xf>
    <xf numFmtId="0" fontId="35" fillId="2" borderId="6" xfId="5" applyFill="1" applyBorder="1" applyAlignment="1">
      <alignment vertical="center"/>
    </xf>
    <xf numFmtId="0" fontId="0" fillId="2" borderId="6" xfId="0" applyBorder="1" applyAlignment="1">
      <alignment horizontal="left" vertical="center" wrapText="1"/>
    </xf>
    <xf numFmtId="0" fontId="0" fillId="2" borderId="8" xfId="0" applyBorder="1" applyAlignment="1">
      <alignment horizontal="left" vertical="center" wrapText="1"/>
    </xf>
    <xf numFmtId="0" fontId="0" fillId="2" borderId="0" xfId="0" applyAlignment="1">
      <alignment horizontal="left" vertical="center" wrapText="1"/>
    </xf>
    <xf numFmtId="0" fontId="0" fillId="2" borderId="3" xfId="0" applyBorder="1"/>
    <xf numFmtId="0" fontId="33" fillId="2" borderId="1" xfId="0" applyFont="1" applyBorder="1" applyAlignment="1">
      <alignment vertical="center" wrapText="1"/>
    </xf>
    <xf numFmtId="0" fontId="0" fillId="2" borderId="0" xfId="0" applyAlignment="1">
      <alignment horizontal="left" vertical="center" wrapText="1" indent="1"/>
    </xf>
    <xf numFmtId="0" fontId="36" fillId="2" borderId="0" xfId="7" quotePrefix="1" applyFont="1" applyFill="1" applyBorder="1">
      <protection locked="0"/>
    </xf>
    <xf numFmtId="0" fontId="0" fillId="2" borderId="4" xfId="0" applyBorder="1" applyAlignment="1">
      <alignment horizontal="left" vertical="center" wrapText="1"/>
    </xf>
    <xf numFmtId="0" fontId="0" fillId="2" borderId="22" xfId="0" applyBorder="1" applyAlignment="1">
      <alignment horizontal="left" vertical="center" wrapText="1" indent="1"/>
    </xf>
    <xf numFmtId="0" fontId="0" fillId="2" borderId="0" xfId="0" applyAlignment="1">
      <alignment vertical="top" wrapText="1"/>
    </xf>
    <xf numFmtId="0" fontId="0" fillId="14" borderId="0" xfId="6" applyFont="1" applyAlignment="1" applyProtection="1">
      <alignment vertical="top"/>
    </xf>
    <xf numFmtId="0" fontId="0" fillId="2" borderId="0" xfId="0" applyAlignment="1">
      <alignment vertical="top"/>
    </xf>
    <xf numFmtId="0" fontId="40" fillId="3" borderId="0" xfId="9" applyBorder="1" applyAlignment="1">
      <alignment vertical="top"/>
    </xf>
    <xf numFmtId="0" fontId="0" fillId="15" borderId="0" xfId="24" applyFont="1" applyBorder="1" applyAlignment="1">
      <alignment vertical="top"/>
    </xf>
    <xf numFmtId="0" fontId="0" fillId="2" borderId="0" xfId="0"/>
    <xf numFmtId="0" fontId="35" fillId="2" borderId="0" xfId="5" applyFill="1" applyAlignment="1">
      <alignment horizontal="left"/>
    </xf>
    <xf numFmtId="3" fontId="0" fillId="14" borderId="8" xfId="6" applyNumberFormat="1" applyFont="1" applyBorder="1">
      <protection locked="0"/>
    </xf>
    <xf numFmtId="0" fontId="0" fillId="2" borderId="8" xfId="0" applyBorder="1"/>
    <xf numFmtId="3" fontId="40" fillId="3" borderId="8" xfId="9" applyNumberFormat="1" applyBorder="1" applyAlignment="1" applyProtection="1"/>
    <xf numFmtId="3" fontId="0" fillId="14" borderId="4" xfId="6" applyNumberFormat="1" applyFont="1" applyBorder="1">
      <protection locked="0"/>
    </xf>
    <xf numFmtId="0" fontId="0" fillId="2" borderId="0" xfId="0" applyAlignment="1">
      <alignment vertical="center" wrapText="1"/>
    </xf>
    <xf numFmtId="3" fontId="0" fillId="14" borderId="7" xfId="6" applyNumberFormat="1" applyFont="1" applyBorder="1">
      <protection locked="0"/>
    </xf>
    <xf numFmtId="0" fontId="0" fillId="2" borderId="7" xfId="0" applyBorder="1" applyAlignment="1">
      <alignment horizontal="left"/>
    </xf>
    <xf numFmtId="0" fontId="33" fillId="2" borderId="1" xfId="28">
      <alignment horizontal="left" vertical="center" wrapText="1"/>
    </xf>
    <xf numFmtId="0" fontId="33" fillId="2" borderId="2" xfId="28" applyBorder="1" applyAlignment="1">
      <alignment horizontal="right" vertical="center" wrapText="1"/>
    </xf>
    <xf numFmtId="0" fontId="33" fillId="2" borderId="3" xfId="28" applyBorder="1" applyAlignment="1">
      <alignment horizontal="right" vertical="center" wrapText="1"/>
    </xf>
    <xf numFmtId="0" fontId="35" fillId="2" borderId="0" xfId="5" applyFill="1" applyBorder="1" applyAlignment="1">
      <alignment vertical="center" wrapText="1"/>
    </xf>
    <xf numFmtId="3" fontId="0" fillId="14" borderId="6" xfId="6" applyNumberFormat="1" applyFont="1" applyBorder="1">
      <protection locked="0"/>
    </xf>
    <xf numFmtId="3" fontId="39" fillId="3" borderId="1" xfId="9" applyNumberFormat="1" applyFont="1" applyBorder="1" applyAlignment="1"/>
    <xf numFmtId="0" fontId="43" fillId="2" borderId="8" xfId="0" applyFont="1" applyBorder="1"/>
    <xf numFmtId="3" fontId="39" fillId="3" borderId="1" xfId="9" applyNumberFormat="1" applyFont="1" applyBorder="1" applyAlignment="1" applyProtection="1"/>
    <xf numFmtId="3" fontId="40" fillId="3" borderId="7" xfId="9" applyNumberFormat="1" applyBorder="1" applyAlignment="1"/>
    <xf numFmtId="0" fontId="0" fillId="2" borderId="4" xfId="0" applyBorder="1"/>
    <xf numFmtId="0" fontId="0" fillId="14" borderId="0" xfId="6" applyFont="1" applyAlignment="1">
      <alignment vertical="center"/>
      <protection locked="0"/>
    </xf>
    <xf numFmtId="0" fontId="0" fillId="2" borderId="0" xfId="0" applyAlignment="1">
      <alignment wrapText="1"/>
    </xf>
    <xf numFmtId="3" fontId="0" fillId="14" borderId="0" xfId="6" applyNumberFormat="1" applyFont="1" applyAlignment="1">
      <alignment horizontal="center" vertical="center"/>
      <protection locked="0"/>
    </xf>
    <xf numFmtId="0" fontId="35" fillId="2" borderId="0" xfId="5" applyFill="1" applyBorder="1" applyAlignment="1">
      <alignment wrapText="1"/>
    </xf>
    <xf numFmtId="0" fontId="0" fillId="14" borderId="0" xfId="6" applyFont="1" applyAlignment="1">
      <protection locked="0"/>
    </xf>
    <xf numFmtId="0" fontId="37" fillId="2" borderId="2" xfId="0" applyFont="1" applyBorder="1" applyAlignment="1">
      <alignment vertical="center"/>
    </xf>
    <xf numFmtId="0" fontId="37" fillId="2" borderId="0" xfId="0" applyFont="1" applyAlignment="1">
      <alignment vertical="center"/>
    </xf>
    <xf numFmtId="0" fontId="37" fillId="2" borderId="3" xfId="0" applyFont="1" applyBorder="1" applyAlignment="1">
      <alignment vertical="center"/>
    </xf>
    <xf numFmtId="0" fontId="37" fillId="2" borderId="2" xfId="0" applyFont="1" applyBorder="1" applyAlignment="1">
      <alignment horizontal="left" vertical="center"/>
    </xf>
    <xf numFmtId="0" fontId="37" fillId="2" borderId="0" xfId="0" applyFont="1" applyAlignment="1">
      <alignment horizontal="left" vertical="center"/>
    </xf>
    <xf numFmtId="0" fontId="37" fillId="2" borderId="3" xfId="0" applyFont="1" applyBorder="1" applyAlignment="1">
      <alignment horizontal="left" vertical="center"/>
    </xf>
    <xf numFmtId="0" fontId="37" fillId="2" borderId="7" xfId="0" applyFont="1" applyBorder="1"/>
    <xf numFmtId="0" fontId="35" fillId="2" borderId="0" xfId="5" applyFill="1" applyBorder="1" applyAlignment="1">
      <alignment horizontal="left" vertical="center" wrapText="1"/>
    </xf>
    <xf numFmtId="0" fontId="37" fillId="2" borderId="7" xfId="0" applyFont="1" applyBorder="1" applyAlignment="1">
      <alignment horizontal="center" vertical="center"/>
    </xf>
    <xf numFmtId="0" fontId="37" fillId="2" borderId="8" xfId="0" applyFont="1" applyBorder="1"/>
    <xf numFmtId="0" fontId="37" fillId="2" borderId="6" xfId="0" applyFont="1" applyBorder="1"/>
    <xf numFmtId="0" fontId="37" fillId="2" borderId="1" xfId="0" applyFont="1" applyBorder="1"/>
    <xf numFmtId="0" fontId="37" fillId="2" borderId="2" xfId="0" applyFont="1" applyBorder="1" applyAlignment="1">
      <alignment horizontal="left" vertical="center" wrapText="1"/>
    </xf>
    <xf numFmtId="0" fontId="37" fillId="2" borderId="0" xfId="0" applyFont="1" applyAlignment="1">
      <alignment horizontal="left" vertical="center" wrapText="1"/>
    </xf>
    <xf numFmtId="164" fontId="0" fillId="14" borderId="0" xfId="6" applyNumberFormat="1" applyFont="1" applyAlignment="1">
      <alignment horizontal="left"/>
      <protection locked="0"/>
    </xf>
    <xf numFmtId="0" fontId="4" fillId="2" borderId="1" xfId="0" applyFont="1" applyBorder="1"/>
    <xf numFmtId="0" fontId="0" fillId="2" borderId="8" xfId="0" applyBorder="1" applyAlignment="1">
      <alignment vertical="center" wrapText="1"/>
    </xf>
    <xf numFmtId="0" fontId="0" fillId="2" borderId="8" xfId="0" applyBorder="1" applyAlignment="1">
      <alignment horizontal="left" vertical="center"/>
    </xf>
    <xf numFmtId="0" fontId="0" fillId="2" borderId="22" xfId="0" applyBorder="1" applyAlignment="1">
      <alignment horizontal="left" vertical="center" wrapText="1"/>
    </xf>
    <xf numFmtId="0" fontId="35" fillId="2" borderId="0" xfId="5" quotePrefix="1" applyFill="1" applyBorder="1" applyAlignment="1">
      <alignment vertical="top" wrapText="1"/>
    </xf>
    <xf numFmtId="0" fontId="0" fillId="2" borderId="0" xfId="0" applyAlignment="1">
      <alignment vertical="center"/>
    </xf>
    <xf numFmtId="3" fontId="40" fillId="3" borderId="22" xfId="9" applyNumberFormat="1" applyBorder="1" applyAlignment="1"/>
    <xf numFmtId="0" fontId="30" fillId="2" borderId="40" xfId="2" applyFill="1"/>
    <xf numFmtId="0" fontId="40" fillId="3" borderId="0" xfId="9" applyBorder="1" applyAlignment="1"/>
    <xf numFmtId="0" fontId="40" fillId="3" borderId="0" xfId="9" applyBorder="1" applyAlignment="1">
      <alignment horizontal="center" vertical="center" wrapText="1"/>
    </xf>
    <xf numFmtId="0" fontId="40" fillId="3" borderId="0" xfId="9" applyBorder="1" applyAlignment="1">
      <alignment vertical="center" wrapText="1"/>
    </xf>
    <xf numFmtId="0" fontId="0" fillId="2" borderId="0" xfId="0" applyAlignment="1">
      <alignment horizontal="right" vertical="center"/>
    </xf>
    <xf numFmtId="0" fontId="0" fillId="2" borderId="0" xfId="0" applyAlignment="1">
      <alignment horizontal="left" vertical="center"/>
    </xf>
    <xf numFmtId="0" fontId="0" fillId="2" borderId="7" xfId="0" applyBorder="1"/>
    <xf numFmtId="0" fontId="42" fillId="4" borderId="0" xfId="10" quotePrefix="1" applyBorder="1" applyAlignment="1">
      <alignment wrapText="1"/>
    </xf>
    <xf numFmtId="0" fontId="42" fillId="4" borderId="0" xfId="10" applyBorder="1" applyAlignment="1"/>
    <xf numFmtId="0" fontId="42" fillId="4" borderId="0" xfId="10" quotePrefix="1" applyBorder="1" applyAlignment="1"/>
    <xf numFmtId="0" fontId="40" fillId="4" borderId="0" xfId="22" applyBorder="1" applyAlignment="1"/>
    <xf numFmtId="166" fontId="40" fillId="3" borderId="0" xfId="9" applyNumberFormat="1" applyBorder="1" applyAlignment="1">
      <alignment horizontal="left"/>
    </xf>
    <xf numFmtId="166" fontId="0" fillId="14" borderId="0" xfId="6" applyNumberFormat="1" applyFont="1" applyAlignment="1">
      <alignment horizontal="center" vertical="center"/>
      <protection locked="0"/>
    </xf>
    <xf numFmtId="0" fontId="42" fillId="4" borderId="0" xfId="10" applyBorder="1" applyAlignment="1">
      <alignment vertical="center" wrapText="1"/>
    </xf>
    <xf numFmtId="0" fontId="40" fillId="4" borderId="0" xfId="22" applyBorder="1" applyAlignment="1">
      <alignment wrapText="1"/>
    </xf>
    <xf numFmtId="0" fontId="42" fillId="4" borderId="0" xfId="10" applyBorder="1" applyAlignment="1">
      <alignment wrapText="1"/>
    </xf>
    <xf numFmtId="164" fontId="40" fillId="3" borderId="0" xfId="9" applyNumberFormat="1" applyBorder="1" applyAlignment="1">
      <alignment horizontal="left"/>
    </xf>
    <xf numFmtId="0" fontId="42" fillId="4" borderId="0" xfId="10" applyBorder="1"/>
    <xf numFmtId="0" fontId="40" fillId="3" borderId="0" xfId="9" applyBorder="1" applyAlignment="1">
      <alignment wrapText="1"/>
    </xf>
    <xf numFmtId="0" fontId="40" fillId="4" borderId="0" xfId="22" applyBorder="1"/>
    <xf numFmtId="3" fontId="40" fillId="3" borderId="0" xfId="9" applyNumberFormat="1" applyBorder="1" applyAlignment="1">
      <alignment horizontal="left"/>
    </xf>
    <xf numFmtId="0" fontId="40" fillId="3" borderId="0" xfId="9" applyBorder="1" applyAlignment="1">
      <alignment horizontal="left" vertical="center" wrapText="1"/>
    </xf>
    <xf numFmtId="0" fontId="34" fillId="2" borderId="0" xfId="3" applyFill="1"/>
    <xf numFmtId="3" fontId="40" fillId="3" borderId="4" xfId="9" applyNumberFormat="1" applyBorder="1" applyAlignment="1"/>
    <xf numFmtId="0" fontId="31" fillId="2" borderId="0" xfId="7" applyFill="1" applyAlignment="1">
      <protection locked="0"/>
    </xf>
    <xf numFmtId="0" fontId="31" fillId="2" borderId="0" xfId="7" applyFill="1" applyBorder="1" applyAlignment="1">
      <alignment horizontal="left" vertical="center" wrapText="1"/>
      <protection locked="0"/>
    </xf>
    <xf numFmtId="0" fontId="37" fillId="2" borderId="0" xfId="23" applyBorder="1" applyAlignment="1">
      <alignment wrapText="1"/>
    </xf>
    <xf numFmtId="0" fontId="40" fillId="3" borderId="0" xfId="9" applyBorder="1" applyAlignment="1">
      <alignment horizontal="left" vertical="center"/>
    </xf>
    <xf numFmtId="0" fontId="31" fillId="2" borderId="0" xfId="7" applyFill="1" applyBorder="1" applyAlignment="1">
      <alignment vertical="center" wrapText="1"/>
      <protection locked="0"/>
    </xf>
    <xf numFmtId="0" fontId="0" fillId="2" borderId="0" xfId="0" applyAlignment="1">
      <alignment horizontal="right" vertical="center" wrapText="1"/>
    </xf>
    <xf numFmtId="3" fontId="39" fillId="3" borderId="1" xfId="29" applyNumberFormat="1" applyBorder="1" applyAlignment="1"/>
    <xf numFmtId="0" fontId="33" fillId="2" borderId="1" xfId="28" applyAlignment="1">
      <alignment horizontal="right" vertical="center" wrapText="1"/>
    </xf>
    <xf numFmtId="0" fontId="39" fillId="4" borderId="0" xfId="10" applyFont="1" applyBorder="1"/>
    <xf numFmtId="0" fontId="0" fillId="2" borderId="0" xfId="0" applyAlignment="1">
      <alignment horizontal="left" wrapText="1"/>
    </xf>
    <xf numFmtId="0" fontId="0" fillId="2" borderId="0" xfId="0" applyAlignment="1">
      <alignment horizontal="left" indent="1"/>
    </xf>
    <xf numFmtId="164" fontId="28" fillId="15" borderId="0" xfId="24" applyNumberFormat="1" applyFont="1" applyBorder="1" applyAlignment="1">
      <alignment horizontal="left"/>
    </xf>
    <xf numFmtId="0" fontId="40" fillId="4" borderId="0" xfId="22" applyBorder="1" applyAlignment="1">
      <alignment horizontal="left" wrapText="1"/>
    </xf>
    <xf numFmtId="0" fontId="28" fillId="15" borderId="0" xfId="24" applyFont="1" applyBorder="1" applyAlignment="1"/>
    <xf numFmtId="0" fontId="42" fillId="4" borderId="0" xfId="10" quotePrefix="1" applyBorder="1"/>
    <xf numFmtId="0" fontId="40" fillId="4" borderId="0" xfId="22" applyBorder="1" applyAlignment="1">
      <alignment horizontal="left" vertical="center" wrapText="1"/>
    </xf>
    <xf numFmtId="0" fontId="0" fillId="2" borderId="8" xfId="0" applyBorder="1" applyAlignment="1">
      <alignment vertical="center"/>
    </xf>
    <xf numFmtId="0" fontId="0" fillId="2" borderId="4" xfId="0" applyBorder="1" applyAlignment="1">
      <alignment vertical="center"/>
    </xf>
    <xf numFmtId="0" fontId="0" fillId="2" borderId="22" xfId="0" applyBorder="1" applyAlignment="1">
      <alignment vertical="center"/>
    </xf>
    <xf numFmtId="0" fontId="0" fillId="2" borderId="24" xfId="0" applyBorder="1" applyAlignment="1">
      <alignment vertical="center"/>
    </xf>
    <xf numFmtId="0" fontId="0" fillId="2" borderId="15" xfId="0" applyBorder="1" applyAlignment="1">
      <alignment vertical="center"/>
    </xf>
    <xf numFmtId="0" fontId="0" fillId="2" borderId="28" xfId="0" applyBorder="1" applyAlignment="1">
      <alignment vertical="center"/>
    </xf>
    <xf numFmtId="0" fontId="40" fillId="3" borderId="0" xfId="9" applyBorder="1" applyAlignment="1">
      <alignment horizontal="left"/>
    </xf>
    <xf numFmtId="0" fontId="40" fillId="4" borderId="0" xfId="22" applyBorder="1" applyAlignment="1">
      <alignment horizontal="left"/>
    </xf>
    <xf numFmtId="0" fontId="40" fillId="3" borderId="7" xfId="9" applyBorder="1" applyAlignment="1">
      <alignment horizontal="right"/>
    </xf>
    <xf numFmtId="0" fontId="0" fillId="14" borderId="8" xfId="6" applyFont="1" applyBorder="1" applyAlignment="1">
      <protection locked="0"/>
    </xf>
    <xf numFmtId="0" fontId="0" fillId="14" borderId="4" xfId="6" applyFont="1" applyBorder="1" applyAlignment="1">
      <protection locked="0"/>
    </xf>
    <xf numFmtId="14" fontId="0" fillId="14" borderId="7" xfId="6" applyNumberFormat="1" applyFont="1" applyBorder="1" applyAlignment="1">
      <alignment horizontal="center" vertical="center" wrapText="1"/>
      <protection locked="0"/>
    </xf>
    <xf numFmtId="14" fontId="0" fillId="14" borderId="8" xfId="6" applyNumberFormat="1" applyFont="1" applyBorder="1" applyAlignment="1">
      <alignment horizontal="center" vertical="center" wrapText="1"/>
      <protection locked="0"/>
    </xf>
    <xf numFmtId="14" fontId="0" fillId="14" borderId="4" xfId="6" applyNumberFormat="1" applyFont="1" applyBorder="1" applyAlignment="1">
      <alignment horizontal="center" vertical="center" wrapText="1"/>
      <protection locked="0"/>
    </xf>
    <xf numFmtId="0" fontId="0" fillId="2" borderId="8" xfId="0" applyBorder="1" applyAlignment="1">
      <alignment horizontal="right" vertical="center"/>
    </xf>
    <xf numFmtId="0" fontId="0" fillId="2" borderId="4" xfId="0" applyBorder="1" applyAlignment="1">
      <alignment horizontal="right" vertical="center"/>
    </xf>
    <xf numFmtId="0" fontId="0" fillId="14" borderId="8" xfId="6" applyFont="1" applyBorder="1" applyAlignment="1">
      <alignment horizontal="right" vertical="center"/>
      <protection locked="0"/>
    </xf>
    <xf numFmtId="0" fontId="0" fillId="14" borderId="4" xfId="6" applyFont="1" applyBorder="1" applyAlignment="1">
      <alignment horizontal="right" vertical="center"/>
      <protection locked="0"/>
    </xf>
    <xf numFmtId="0" fontId="0" fillId="14" borderId="7" xfId="6" applyFont="1" applyBorder="1" applyAlignment="1">
      <alignment horizontal="right" vertical="center"/>
      <protection locked="0"/>
    </xf>
    <xf numFmtId="0" fontId="0" fillId="2" borderId="7" xfId="0" applyBorder="1" applyAlignment="1">
      <alignment horizontal="right" vertical="center"/>
    </xf>
    <xf numFmtId="0" fontId="0" fillId="2" borderId="7" xfId="0" applyBorder="1" applyAlignment="1">
      <alignment horizontal="left" vertical="center"/>
    </xf>
    <xf numFmtId="0" fontId="0" fillId="2" borderId="7" xfId="0" applyBorder="1" applyAlignment="1">
      <alignment wrapText="1"/>
    </xf>
    <xf numFmtId="0" fontId="0" fillId="2" borderId="8" xfId="0" applyBorder="1" applyAlignment="1">
      <alignment wrapText="1"/>
    </xf>
    <xf numFmtId="0" fontId="0" fillId="2" borderId="4" xfId="0" applyBorder="1" applyAlignment="1">
      <alignment horizontal="left" vertical="center"/>
    </xf>
    <xf numFmtId="0" fontId="33" fillId="2" borderId="1" xfId="28" applyFill="1" applyAlignment="1">
      <alignment horizontal="right" vertical="center" wrapText="1"/>
    </xf>
    <xf numFmtId="0" fontId="33" fillId="2" borderId="1" xfId="28" applyFill="1">
      <alignment horizontal="left" vertical="center" wrapText="1"/>
    </xf>
    <xf numFmtId="0" fontId="33" fillId="2" borderId="51" xfId="28" applyFill="1" applyBorder="1">
      <alignment horizontal="left" vertical="center" wrapText="1"/>
    </xf>
    <xf numFmtId="0" fontId="33" fillId="2" borderId="7" xfId="28" applyFill="1" applyBorder="1">
      <alignment horizontal="left" vertical="center" wrapText="1"/>
    </xf>
    <xf numFmtId="0" fontId="33" fillId="2" borderId="26" xfId="28" applyFill="1" applyBorder="1">
      <alignment horizontal="left" vertical="center" wrapText="1"/>
    </xf>
    <xf numFmtId="0" fontId="4" fillId="2" borderId="2" xfId="0" applyFont="1" applyBorder="1" applyAlignment="1">
      <alignment horizontal="right" vertical="center" wrapText="1"/>
    </xf>
    <xf numFmtId="0" fontId="4" fillId="2" borderId="22" xfId="0" applyFont="1" applyBorder="1" applyAlignment="1">
      <alignment horizontal="right" vertical="center" wrapText="1"/>
    </xf>
    <xf numFmtId="0" fontId="33" fillId="2" borderId="1" xfId="28" applyFill="1" applyAlignment="1">
      <alignment horizontal="left" indent="1"/>
    </xf>
    <xf numFmtId="0" fontId="0" fillId="2" borderId="2" xfId="0" applyBorder="1" applyAlignment="1">
      <alignment vertical="center"/>
    </xf>
    <xf numFmtId="0" fontId="42" fillId="4" borderId="0" xfId="10" applyBorder="1" applyAlignment="1">
      <alignment horizontal="left" vertical="center" wrapText="1"/>
    </xf>
    <xf numFmtId="0" fontId="42" fillId="4" borderId="0" xfId="10" quotePrefix="1" applyBorder="1" applyAlignment="1">
      <alignment horizontal="left" vertical="center" wrapText="1"/>
    </xf>
    <xf numFmtId="0" fontId="42" fillId="4" borderId="0" xfId="10" applyBorder="1" applyAlignment="1">
      <alignment horizontal="center" vertical="center"/>
    </xf>
    <xf numFmtId="0" fontId="40" fillId="4" borderId="0" xfId="22" applyBorder="1" applyAlignment="1">
      <alignment vertical="center"/>
    </xf>
    <xf numFmtId="0" fontId="42" fillId="4" borderId="0" xfId="10" applyBorder="1" applyAlignment="1">
      <alignment horizontal="left" wrapText="1"/>
    </xf>
    <xf numFmtId="0" fontId="42" fillId="4" borderId="0" xfId="10" quotePrefix="1" applyBorder="1" applyAlignment="1">
      <alignment vertical="center" wrapText="1"/>
    </xf>
    <xf numFmtId="0" fontId="40" fillId="4" borderId="0" xfId="22" applyBorder="1" applyAlignment="1">
      <alignment horizontal="center" vertical="center"/>
    </xf>
    <xf numFmtId="0" fontId="40" fillId="4" borderId="0" xfId="22" applyBorder="1" applyAlignment="1">
      <alignment horizontal="left" vertical="center"/>
    </xf>
    <xf numFmtId="0" fontId="35" fillId="2" borderId="0" xfId="5" quotePrefix="1" applyFill="1" applyBorder="1" applyAlignment="1">
      <alignment horizontal="left" wrapText="1"/>
    </xf>
    <xf numFmtId="0" fontId="0" fillId="2" borderId="8" xfId="27" applyFont="1" applyBorder="1" applyAlignment="1">
      <alignment horizontal="left" vertical="center" wrapText="1" indent="1"/>
    </xf>
    <xf numFmtId="0" fontId="0" fillId="2" borderId="36" xfId="25" applyFont="1" applyBorder="1">
      <alignment horizontal="left" vertical="center" wrapText="1"/>
    </xf>
    <xf numFmtId="0" fontId="0" fillId="2" borderId="7" xfId="25" applyFont="1" applyBorder="1">
      <alignment horizontal="left" vertical="center" wrapText="1"/>
    </xf>
    <xf numFmtId="0" fontId="0" fillId="2" borderId="8" xfId="25" applyFont="1" applyBorder="1" applyAlignment="1">
      <alignment horizontal="left" vertical="center" wrapText="1" indent="1"/>
    </xf>
    <xf numFmtId="0" fontId="0" fillId="2" borderId="8" xfId="26" applyFont="1" applyBorder="1">
      <alignment horizontal="left" vertical="center" wrapText="1" indent="1"/>
    </xf>
    <xf numFmtId="0" fontId="0" fillId="2" borderId="8" xfId="27" applyFont="1" applyBorder="1">
      <alignment horizontal="left" vertical="center" wrapText="1" indent="2"/>
    </xf>
    <xf numFmtId="0" fontId="0" fillId="2" borderId="4" xfId="27" applyFont="1" applyBorder="1">
      <alignment horizontal="left" vertical="center" wrapText="1" indent="2"/>
    </xf>
    <xf numFmtId="0" fontId="0" fillId="2" borderId="15" xfId="27" applyFont="1" applyBorder="1">
      <alignment horizontal="left" vertical="center" wrapText="1" indent="2"/>
    </xf>
    <xf numFmtId="0" fontId="0" fillId="2" borderId="8" xfId="0" applyBorder="1" applyAlignment="1">
      <alignment horizontal="left" indent="1"/>
    </xf>
    <xf numFmtId="0" fontId="0" fillId="2" borderId="15" xfId="0" applyBorder="1" applyAlignment="1">
      <alignment horizontal="left" indent="1"/>
    </xf>
    <xf numFmtId="0" fontId="0" fillId="2" borderId="2" xfId="25" applyFont="1">
      <alignment horizontal="left" vertical="center" wrapText="1"/>
    </xf>
    <xf numFmtId="0" fontId="0" fillId="2" borderId="8" xfId="26" applyFont="1" applyBorder="1" applyAlignment="1">
      <alignment horizontal="left" vertical="center" wrapText="1" indent="2"/>
    </xf>
    <xf numFmtId="0" fontId="0" fillId="2" borderId="15" xfId="27" applyFont="1" applyBorder="1" applyAlignment="1">
      <alignment horizontal="left" vertical="center" wrapText="1" indent="1"/>
    </xf>
    <xf numFmtId="0" fontId="40" fillId="3" borderId="25" xfId="9" applyBorder="1" applyAlignment="1">
      <alignment horizontal="center" vertical="center" wrapText="1"/>
    </xf>
    <xf numFmtId="0" fontId="40" fillId="3" borderId="23" xfId="9" applyBorder="1" applyAlignment="1">
      <alignment horizontal="center" vertical="center" wrapText="1"/>
    </xf>
    <xf numFmtId="0" fontId="40" fillId="3" borderId="37" xfId="9" applyBorder="1" applyAlignment="1">
      <alignment horizontal="center" vertical="center" wrapText="1"/>
    </xf>
    <xf numFmtId="0" fontId="40" fillId="3" borderId="38" xfId="9" applyBorder="1" applyAlignment="1">
      <alignment horizontal="center" vertical="center" wrapText="1"/>
    </xf>
    <xf numFmtId="0" fontId="33" fillId="2" borderId="31" xfId="28" applyBorder="1" applyAlignment="1">
      <alignment horizontal="center" vertical="center" wrapText="1"/>
    </xf>
    <xf numFmtId="0" fontId="33" fillId="2" borderId="32" xfId="28" applyBorder="1" applyAlignment="1">
      <alignment horizontal="center" vertical="center" wrapText="1"/>
    </xf>
    <xf numFmtId="0" fontId="33" fillId="2" borderId="34" xfId="28" applyBorder="1" applyAlignment="1">
      <alignment horizontal="center" vertical="center" wrapText="1"/>
    </xf>
    <xf numFmtId="0" fontId="33" fillId="2" borderId="35" xfId="28" applyBorder="1" applyAlignment="1">
      <alignment horizontal="center" vertical="center" wrapText="1"/>
    </xf>
    <xf numFmtId="0" fontId="40" fillId="3" borderId="16" xfId="9" applyBorder="1" applyAlignment="1">
      <alignment horizontal="center" vertical="center"/>
    </xf>
    <xf numFmtId="0" fontId="40" fillId="3" borderId="15" xfId="9" applyBorder="1" applyAlignment="1">
      <alignment horizontal="center" vertical="center"/>
    </xf>
    <xf numFmtId="0" fontId="40" fillId="3" borderId="39" xfId="9" applyBorder="1" applyAlignment="1">
      <alignment horizontal="center" vertical="center" wrapText="1"/>
    </xf>
    <xf numFmtId="0" fontId="40" fillId="3" borderId="5" xfId="9" applyBorder="1" applyAlignment="1">
      <alignment horizontal="center" vertical="center" wrapText="1"/>
    </xf>
    <xf numFmtId="0" fontId="40" fillId="3" borderId="27" xfId="9" applyBorder="1" applyAlignment="1">
      <alignment horizontal="center" vertical="center" wrapText="1"/>
    </xf>
    <xf numFmtId="0" fontId="40" fillId="3" borderId="26" xfId="9" applyBorder="1" applyAlignment="1">
      <alignment horizontal="center" vertical="center" wrapText="1"/>
    </xf>
    <xf numFmtId="0" fontId="0" fillId="2" borderId="4" xfId="26" applyFont="1" applyBorder="1">
      <alignment horizontal="left" vertical="center" wrapText="1" indent="1"/>
    </xf>
    <xf numFmtId="0" fontId="40" fillId="3" borderId="8" xfId="9" applyBorder="1" applyAlignment="1">
      <alignment horizontal="left" wrapText="1"/>
    </xf>
    <xf numFmtId="164" fontId="40" fillId="3" borderId="8" xfId="9" applyNumberFormat="1" applyBorder="1" applyAlignment="1">
      <alignment horizontal="left" wrapText="1"/>
    </xf>
    <xf numFmtId="0" fontId="40" fillId="3" borderId="8" xfId="9" applyBorder="1" applyAlignment="1">
      <alignment horizontal="left" vertical="center" wrapText="1"/>
    </xf>
    <xf numFmtId="3" fontId="40" fillId="3" borderId="8" xfId="9" applyNumberFormat="1" applyBorder="1" applyAlignment="1">
      <alignment horizontal="left" wrapText="1"/>
    </xf>
    <xf numFmtId="164" fontId="40" fillId="3" borderId="4" xfId="9" applyNumberFormat="1" applyBorder="1" applyAlignment="1">
      <alignment horizontal="left" wrapText="1"/>
    </xf>
    <xf numFmtId="0" fontId="40" fillId="3" borderId="7" xfId="9" applyBorder="1" applyAlignment="1">
      <alignment horizontal="left" vertical="center" wrapText="1"/>
    </xf>
    <xf numFmtId="0" fontId="40" fillId="3" borderId="2" xfId="9" applyBorder="1" applyAlignment="1">
      <alignment horizontal="left" vertical="center" wrapText="1"/>
    </xf>
    <xf numFmtId="0" fontId="40" fillId="3" borderId="16" xfId="9" applyBorder="1" applyAlignment="1">
      <alignment horizontal="left" vertical="center" wrapText="1"/>
    </xf>
    <xf numFmtId="0" fontId="40" fillId="3" borderId="4" xfId="9" applyBorder="1" applyAlignment="1">
      <alignment horizontal="left" wrapText="1"/>
    </xf>
    <xf numFmtId="3" fontId="40" fillId="3" borderId="16" xfId="9" applyNumberFormat="1" applyBorder="1" applyAlignment="1">
      <alignment horizontal="left" wrapText="1"/>
    </xf>
    <xf numFmtId="164" fontId="40" fillId="3" borderId="16" xfId="9" applyNumberFormat="1" applyBorder="1" applyAlignment="1">
      <alignment horizontal="left" wrapText="1"/>
    </xf>
    <xf numFmtId="0" fontId="33" fillId="2" borderId="52" xfId="28" applyFill="1" applyBorder="1">
      <alignment horizontal="left" vertical="center" wrapText="1"/>
    </xf>
    <xf numFmtId="0" fontId="33" fillId="2" borderId="36" xfId="28" applyFill="1" applyBorder="1">
      <alignment horizontal="left" vertical="center" wrapText="1"/>
    </xf>
    <xf numFmtId="0" fontId="40" fillId="3" borderId="36" xfId="9" applyBorder="1" applyAlignment="1">
      <alignment horizontal="left" vertical="center" wrapText="1"/>
    </xf>
    <xf numFmtId="0" fontId="33" fillId="2" borderId="30" xfId="28" applyBorder="1">
      <alignment horizontal="left" vertical="center" wrapText="1"/>
    </xf>
    <xf numFmtId="0" fontId="33" fillId="2" borderId="33" xfId="28" applyBorder="1">
      <alignment horizontal="left" vertical="center" wrapText="1"/>
    </xf>
    <xf numFmtId="0" fontId="40" fillId="3" borderId="17" xfId="9" applyBorder="1" applyAlignment="1">
      <alignment horizontal="left" wrapText="1"/>
    </xf>
    <xf numFmtId="0" fontId="40" fillId="3" borderId="22" xfId="9" applyBorder="1" applyAlignment="1">
      <alignment horizontal="left" wrapText="1"/>
    </xf>
    <xf numFmtId="0" fontId="40" fillId="3" borderId="29" xfId="9" applyBorder="1" applyAlignment="1">
      <alignment horizontal="center" vertical="center"/>
    </xf>
    <xf numFmtId="0" fontId="40" fillId="3" borderId="28" xfId="9" applyBorder="1" applyAlignment="1">
      <alignment horizontal="center" vertical="center"/>
    </xf>
    <xf numFmtId="0" fontId="40" fillId="3" borderId="16" xfId="9" applyBorder="1" applyAlignment="1">
      <alignment horizontal="center" vertical="center" wrapText="1"/>
    </xf>
    <xf numFmtId="0" fontId="40" fillId="3" borderId="15" xfId="9" applyBorder="1" applyAlignment="1">
      <alignment horizontal="center" vertical="center" wrapText="1"/>
    </xf>
    <xf numFmtId="0" fontId="40" fillId="3" borderId="17" xfId="9" applyBorder="1" applyAlignment="1">
      <alignment horizontal="center" vertical="center" wrapText="1"/>
    </xf>
    <xf numFmtId="0" fontId="40" fillId="3" borderId="24" xfId="9" applyBorder="1" applyAlignment="1">
      <alignment horizontal="center" vertical="center" wrapText="1"/>
    </xf>
    <xf numFmtId="0" fontId="40" fillId="3" borderId="29" xfId="9" applyBorder="1" applyAlignment="1">
      <alignment horizontal="center" vertical="center" wrapText="1"/>
    </xf>
    <xf numFmtId="0" fontId="40" fillId="3" borderId="28" xfId="9" applyBorder="1" applyAlignment="1">
      <alignment horizontal="center" vertical="center" wrapText="1"/>
    </xf>
    <xf numFmtId="0" fontId="0" fillId="2" borderId="8" xfId="0" applyBorder="1" applyAlignment="1">
      <alignment horizontal="left" vertical="center" wrapText="1" indent="1"/>
    </xf>
    <xf numFmtId="0" fontId="0" fillId="2" borderId="4" xfId="0" applyBorder="1" applyAlignment="1">
      <alignment horizontal="left" vertical="center" wrapText="1" indent="1"/>
    </xf>
    <xf numFmtId="0" fontId="0" fillId="2" borderId="2" xfId="25" applyFont="1" applyFill="1">
      <alignment horizontal="left" vertical="center" wrapText="1"/>
    </xf>
    <xf numFmtId="0" fontId="0" fillId="2" borderId="7" xfId="25" applyFont="1" applyFill="1" applyBorder="1">
      <alignment horizontal="left" vertical="center" wrapText="1"/>
    </xf>
    <xf numFmtId="0" fontId="23" fillId="12" borderId="0" xfId="0" applyFont="1" applyFill="1" applyAlignment="1">
      <alignment horizontal="left"/>
    </xf>
    <xf numFmtId="0" fontId="24" fillId="13" borderId="16" xfId="0" applyFont="1" applyFill="1" applyBorder="1" applyAlignment="1">
      <alignment horizontal="left"/>
    </xf>
    <xf numFmtId="0" fontId="24" fillId="13" borderId="15" xfId="0" applyFont="1" applyFill="1" applyBorder="1" applyAlignment="1">
      <alignment horizontal="left"/>
    </xf>
    <xf numFmtId="0" fontId="24" fillId="13" borderId="18" xfId="0" applyFont="1" applyFill="1" applyBorder="1" applyAlignment="1">
      <alignment vertical="center"/>
    </xf>
    <xf numFmtId="0" fontId="18" fillId="12" borderId="0" xfId="0" applyFont="1" applyFill="1" applyAlignment="1">
      <alignment horizontal="center"/>
    </xf>
    <xf numFmtId="0" fontId="24" fillId="13" borderId="14" xfId="0" applyFont="1" applyFill="1" applyBorder="1" applyAlignment="1">
      <alignment horizontal="left" vertical="top" wrapText="1"/>
    </xf>
    <xf numFmtId="0" fontId="24" fillId="13" borderId="21" xfId="0" applyFont="1" applyFill="1" applyBorder="1" applyAlignment="1">
      <alignment horizontal="left" vertical="top" wrapText="1"/>
    </xf>
    <xf numFmtId="0" fontId="24" fillId="13" borderId="14" xfId="0" applyFont="1" applyFill="1" applyBorder="1" applyAlignment="1">
      <alignment horizontal="right" vertical="top" wrapText="1"/>
    </xf>
    <xf numFmtId="0" fontId="24" fillId="13" borderId="21" xfId="0" applyFont="1" applyFill="1" applyBorder="1" applyAlignment="1">
      <alignment horizontal="right" vertical="top" wrapText="1"/>
    </xf>
    <xf numFmtId="0" fontId="24" fillId="13" borderId="16" xfId="0" applyFont="1" applyFill="1" applyBorder="1" applyAlignment="1">
      <alignment horizontal="center"/>
    </xf>
    <xf numFmtId="0" fontId="24" fillId="13" borderId="8" xfId="0" applyFont="1" applyFill="1" applyBorder="1" applyAlignment="1">
      <alignment horizontal="center"/>
    </xf>
    <xf numFmtId="0" fontId="24" fillId="13" borderId="15" xfId="0" applyFont="1" applyFill="1" applyBorder="1" applyAlignment="1">
      <alignment horizontal="center"/>
    </xf>
    <xf numFmtId="0" fontId="25" fillId="2" borderId="8" xfId="0" applyFont="1" applyBorder="1" applyAlignment="1" applyProtection="1">
      <alignment horizontal="left"/>
      <protection locked="0"/>
    </xf>
    <xf numFmtId="0" fontId="25" fillId="2" borderId="15" xfId="0" applyFont="1" applyBorder="1" applyAlignment="1" applyProtection="1">
      <alignment horizontal="left"/>
      <protection locked="0"/>
    </xf>
    <xf numFmtId="0" fontId="24" fillId="12" borderId="0" xfId="0" applyFont="1" applyFill="1" applyAlignment="1">
      <alignment horizontal="center"/>
    </xf>
    <xf numFmtId="0" fontId="27" fillId="12" borderId="0" xfId="0" applyFont="1" applyFill="1" applyAlignment="1">
      <alignment horizontal="left"/>
    </xf>
    <xf numFmtId="0" fontId="27" fillId="12" borderId="0" xfId="0" applyFont="1" applyFill="1" applyAlignment="1">
      <alignment horizontal="right"/>
    </xf>
    <xf numFmtId="0" fontId="15" fillId="2" borderId="0" xfId="0" applyFont="1" applyAlignment="1">
      <alignment horizontal="left"/>
    </xf>
    <xf numFmtId="0" fontId="16" fillId="2" borderId="16" xfId="0" applyFont="1" applyBorder="1" applyAlignment="1">
      <alignment horizontal="center"/>
    </xf>
    <xf numFmtId="0" fontId="16" fillId="2" borderId="8" xfId="0" applyFont="1" applyBorder="1" applyAlignment="1">
      <alignment horizontal="center"/>
    </xf>
    <xf numFmtId="0" fontId="16" fillId="2" borderId="15" xfId="0" applyFont="1" applyBorder="1" applyAlignment="1">
      <alignment horizontal="center"/>
    </xf>
    <xf numFmtId="0" fontId="16" fillId="2" borderId="14" xfId="0" applyFont="1" applyBorder="1" applyAlignment="1">
      <alignment horizontal="left"/>
    </xf>
    <xf numFmtId="0" fontId="16" fillId="2" borderId="17" xfId="0" applyFont="1" applyBorder="1" applyAlignment="1">
      <alignment horizontal="left"/>
    </xf>
    <xf numFmtId="0" fontId="17" fillId="0" borderId="0" xfId="0" applyFont="1" applyFill="1" applyAlignment="1">
      <alignment horizontal="left"/>
    </xf>
    <xf numFmtId="0" fontId="15" fillId="2" borderId="0" xfId="0" applyFont="1" applyAlignment="1">
      <alignment horizontal="left" vertical="top" wrapText="1"/>
    </xf>
    <xf numFmtId="0" fontId="16" fillId="0" borderId="14" xfId="0" applyFont="1" applyFill="1" applyBorder="1" applyAlignment="1">
      <alignment horizontal="left"/>
    </xf>
    <xf numFmtId="0" fontId="16" fillId="0" borderId="17" xfId="0" applyFont="1" applyFill="1" applyBorder="1" applyAlignment="1">
      <alignment horizontal="left"/>
    </xf>
    <xf numFmtId="0" fontId="16" fillId="0" borderId="16" xfId="0" applyFont="1" applyFill="1" applyBorder="1" applyAlignment="1">
      <alignment horizontal="center"/>
    </xf>
    <xf numFmtId="0" fontId="16" fillId="0" borderId="8" xfId="0" applyFont="1" applyFill="1" applyBorder="1" applyAlignment="1">
      <alignment horizontal="center"/>
    </xf>
    <xf numFmtId="0" fontId="16" fillId="0" borderId="15" xfId="0" applyFont="1" applyFill="1" applyBorder="1" applyAlignment="1">
      <alignment horizontal="center"/>
    </xf>
  </cellXfs>
  <cellStyles count="30">
    <cellStyle name="Bad" xfId="13" builtinId="27" hidden="1"/>
    <cellStyle name="Calculated Field" xfId="9" xr:uid="{00000000-0005-0000-0000-000001000000}"/>
    <cellStyle name="Calculated Field Total" xfId="29" xr:uid="{00000000-0005-0000-0000-000002000000}"/>
    <cellStyle name="Calculation" xfId="17" builtinId="22" hidden="1"/>
    <cellStyle name="Check Cell" xfId="19" builtinId="23" hidden="1"/>
    <cellStyle name="Explanatory Text" xfId="5" builtinId="53" customBuiltin="1"/>
    <cellStyle name="Followed Hyperlink" xfId="8" builtinId="9" customBuiltin="1"/>
    <cellStyle name="Formula" xfId="10" xr:uid="{00000000-0005-0000-0000-000007000000}"/>
    <cellStyle name="Formula Workings" xfId="22" xr:uid="{00000000-0005-0000-0000-000008000000}"/>
    <cellStyle name="Good" xfId="12" builtinId="26" hidden="1"/>
    <cellStyle name="Heading 1" xfId="2" builtinId="16" customBuiltin="1"/>
    <cellStyle name="Heading 2" xfId="3" builtinId="17" customBuiltin="1"/>
    <cellStyle name="Heading 3" xfId="4" builtinId="18" customBuiltin="1"/>
    <cellStyle name="Heading 4" xfId="11" builtinId="19" customBuiltin="1"/>
    <cellStyle name="Hyperlink" xfId="7" builtinId="8" customBuiltin="1"/>
    <cellStyle name="Input" xfId="15" builtinId="20" hidden="1"/>
    <cellStyle name="Input Required" xfId="6" xr:uid="{00000000-0005-0000-0000-000010000000}"/>
    <cellStyle name="Linked Cell" xfId="18" builtinId="24" hidden="1"/>
    <cellStyle name="Neutral" xfId="14" builtinId="28" hidden="1"/>
    <cellStyle name="Normal" xfId="0" builtinId="0" customBuiltin="1"/>
    <cellStyle name="Note" xfId="21" builtinId="10" hidden="1"/>
    <cellStyle name="Output" xfId="16" builtinId="21" hidden="1"/>
    <cellStyle name="Reference to Supplementary Planning Document" xfId="23" xr:uid="{00000000-0005-0000-0000-000016000000}"/>
    <cellStyle name="Requirement" xfId="24" xr:uid="{00000000-0005-0000-0000-000017000000}"/>
    <cellStyle name="Summary Table Main" xfId="25" xr:uid="{00000000-0005-0000-0000-000018000000}"/>
    <cellStyle name="Summary Table Sub" xfId="26" xr:uid="{00000000-0005-0000-0000-000019000000}"/>
    <cellStyle name="Summary Table Sub Sub" xfId="27" xr:uid="{00000000-0005-0000-0000-00001A000000}"/>
    <cellStyle name="Table Heading" xfId="28" xr:uid="{00000000-0005-0000-0000-00001B000000}"/>
    <cellStyle name="Title" xfId="1" builtinId="15" customBuiltin="1"/>
    <cellStyle name="Warning Text" xfId="20" builtinId="11" hidden="1"/>
  </cellStyles>
  <dxfs count="49">
    <dxf>
      <font>
        <b val="0"/>
        <i val="0"/>
        <color theme="0"/>
      </font>
    </dxf>
    <dxf>
      <font>
        <b val="0"/>
        <i val="0"/>
        <color auto="1"/>
      </font>
      <fill>
        <patternFill>
          <bgColor theme="6"/>
        </patternFill>
      </fill>
    </dxf>
    <dxf>
      <font>
        <b val="0"/>
        <i val="0"/>
        <color theme="0"/>
      </font>
      <fill>
        <patternFill>
          <bgColor theme="0" tint="-0.499984740745262"/>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theme="0"/>
      </font>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s>
  <tableStyles count="0" defaultTableStyle="TableStyleMedium2" defaultPivotStyle="PivotStyleLight16"/>
  <colors>
    <mruColors>
      <color rgb="FFAB4F4F"/>
      <color rgb="FFB15757"/>
      <color rgb="FFBD3535"/>
      <color rgb="FF922E2E"/>
      <color rgb="FFAA4F40"/>
      <color rgb="FFB05242"/>
      <color rgb="FFB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76200</xdr:colOff>
      <xdr:row>18</xdr:row>
      <xdr:rowOff>85725</xdr:rowOff>
    </xdr:from>
    <xdr:to>
      <xdr:col>9</xdr:col>
      <xdr:colOff>85725</xdr:colOff>
      <xdr:row>20</xdr:row>
      <xdr:rowOff>47625</xdr:rowOff>
    </xdr:to>
    <xdr:sp macro="[0]!CalculateYield" textlink="">
      <xdr:nvSpPr>
        <xdr:cNvPr id="2" name="Rectangle 2">
          <a:extLst>
            <a:ext uri="{FF2B5EF4-FFF2-40B4-BE49-F238E27FC236}">
              <a16:creationId xmlns:a16="http://schemas.microsoft.com/office/drawing/2014/main" id="{00000000-0008-0000-1300-000002000000}"/>
            </a:ext>
          </a:extLst>
        </xdr:cNvPr>
        <xdr:cNvSpPr>
          <a:spLocks noChangeArrowheads="1"/>
        </xdr:cNvSpPr>
      </xdr:nvSpPr>
      <xdr:spPr bwMode="auto">
        <a:xfrm>
          <a:off x="3733800" y="4714875"/>
          <a:ext cx="1838325" cy="476250"/>
        </a:xfrm>
        <a:prstGeom prst="rect">
          <a:avLst/>
        </a:prstGeom>
        <a:solidFill>
          <a:srgbClr xmlns:mc="http://schemas.openxmlformats.org/markup-compatibility/2006" xmlns:a14="http://schemas.microsoft.com/office/drawing/2010/main" val="C0C0C0" mc:Ignorable="a14" a14:legacySpreadsheetColorIndex="22"/>
        </a:solidFill>
        <a:ln w="25400">
          <a:solidFill>
            <a:srgbClr xmlns:mc="http://schemas.openxmlformats.org/markup-compatibility/2006" xmlns:a14="http://schemas.microsoft.com/office/drawing/2010/main" val="800000" mc:Ignorable="a14" a14:legacySpreadsheetColorIndex="16"/>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Calculate Population Yield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28</xdr:row>
      <xdr:rowOff>38100</xdr:rowOff>
    </xdr:from>
    <xdr:to>
      <xdr:col>7</xdr:col>
      <xdr:colOff>523875</xdr:colOff>
      <xdr:row>29</xdr:row>
      <xdr:rowOff>247650</xdr:rowOff>
    </xdr:to>
    <xdr:sp macro="[0]!Printpages" textlink="">
      <xdr:nvSpPr>
        <xdr:cNvPr id="2" name="Rectangle 6">
          <a:extLst>
            <a:ext uri="{FF2B5EF4-FFF2-40B4-BE49-F238E27FC236}">
              <a16:creationId xmlns:a16="http://schemas.microsoft.com/office/drawing/2014/main" id="{00000000-0008-0000-1400-000002000000}"/>
            </a:ext>
          </a:extLst>
        </xdr:cNvPr>
        <xdr:cNvSpPr>
          <a:spLocks noChangeArrowheads="1"/>
        </xdr:cNvSpPr>
      </xdr:nvSpPr>
      <xdr:spPr bwMode="auto">
        <a:xfrm>
          <a:off x="3133725" y="7239000"/>
          <a:ext cx="1657350" cy="466725"/>
        </a:xfrm>
        <a:prstGeom prst="rect">
          <a:avLst/>
        </a:prstGeom>
        <a:solidFill>
          <a:srgbClr xmlns:mc="http://schemas.openxmlformats.org/markup-compatibility/2006" xmlns:a14="http://schemas.microsoft.com/office/drawing/2010/main" val="C0C0C0" mc:Ignorable="a14" a14:legacySpreadsheetColorIndex="22"/>
        </a:solidFill>
        <a:ln w="25400" algn="ctr">
          <a:solidFill>
            <a:srgbClr xmlns:mc="http://schemas.openxmlformats.org/markup-compatibility/2006" xmlns:a14="http://schemas.microsoft.com/office/drawing/2010/main" val="800000" mc:Ignorable="a14" a14:legacySpreadsheetColorIndex="16"/>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6576" rIns="45720" bIns="36576" anchor="ctr" upright="1"/>
        <a:lstStyle/>
        <a:p>
          <a:pPr algn="ctr" rtl="0">
            <a:defRPr sz="1000"/>
          </a:pPr>
          <a:r>
            <a:rPr lang="en-GB" sz="1800" b="1" i="0" u="none" strike="noStrike" baseline="0">
              <a:solidFill>
                <a:srgbClr val="000000"/>
              </a:solidFill>
              <a:latin typeface="Arial"/>
              <a:cs typeface="Arial"/>
            </a:rPr>
            <a:t>Print Results</a:t>
          </a:r>
        </a:p>
      </xdr:txBody>
    </xdr:sp>
    <xdr:clientData/>
  </xdr:twoCellAnchor>
</xdr:wsDr>
</file>

<file path=xl/theme/theme1.xml><?xml version="1.0" encoding="utf-8"?>
<a:theme xmlns:a="http://schemas.openxmlformats.org/drawingml/2006/main" name="Office Theme">
  <a:themeElements>
    <a:clrScheme name="Waveform">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Wandsworth Local Plan">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wandsworth.gov.uk/media/1634/population_yield_calculator.xls" TargetMode="External"/><Relationship Id="rId1" Type="http://schemas.openxmlformats.org/officeDocument/2006/relationships/hyperlink" Target="https://www.wandsworth.gov.uk/media/1634/population_yield_calculator.xl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wandsworth.gov.uk/media/1634/population_yield_calculator.xls" TargetMode="External"/><Relationship Id="rId2" Type="http://schemas.openxmlformats.org/officeDocument/2006/relationships/hyperlink" Target="http://www.wandsworth.gov.uk/downloads/file/8301/population_yield_calculator" TargetMode="External"/><Relationship Id="rId1" Type="http://schemas.openxmlformats.org/officeDocument/2006/relationships/hyperlink" Target="http://www.wandsworth.gov.uk/downloads/file/8301/population_yield_calculator" TargetMode="External"/><Relationship Id="rId5" Type="http://schemas.openxmlformats.org/officeDocument/2006/relationships/printerSettings" Target="../printerSettings/printerSettings11.bin"/><Relationship Id="rId4" Type="http://schemas.openxmlformats.org/officeDocument/2006/relationships/hyperlink" Target="https://www.wandsworth.gov.uk/media/1634/population_yield_calculator.xl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wandsworth.gov.uk/info/1004/planning_policy/479/order_paper_copies_of_our_publication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lanninginformation@wandsworth.gov.u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Q55"/>
  <sheetViews>
    <sheetView tabSelected="1" workbookViewId="0">
      <selection activeCell="I48" sqref="I48:P48"/>
    </sheetView>
  </sheetViews>
  <sheetFormatPr defaultColWidth="9.109375" defaultRowHeight="13.2" x14ac:dyDescent="0.25"/>
  <cols>
    <col min="1" max="2" width="2.6640625" customWidth="1"/>
    <col min="3" max="3" width="9.33203125" customWidth="1"/>
    <col min="4" max="5" width="9.109375" customWidth="1"/>
    <col min="17" max="17" width="2.6640625" customWidth="1"/>
  </cols>
  <sheetData>
    <row r="2" spans="2:17" x14ac:dyDescent="0.25">
      <c r="B2" s="90"/>
      <c r="C2" s="91"/>
      <c r="D2" s="91"/>
      <c r="E2" s="91"/>
      <c r="F2" s="91"/>
      <c r="G2" s="91"/>
      <c r="H2" s="91"/>
      <c r="I2" s="91"/>
      <c r="J2" s="91"/>
      <c r="K2" s="91"/>
      <c r="L2" s="91"/>
      <c r="M2" s="91"/>
      <c r="N2" s="91"/>
      <c r="O2" s="91"/>
      <c r="P2" s="91"/>
      <c r="Q2" s="92"/>
    </row>
    <row r="3" spans="2:17" ht="41.25" customHeight="1" x14ac:dyDescent="0.35">
      <c r="B3" s="93"/>
      <c r="C3" s="202" t="s">
        <v>95</v>
      </c>
      <c r="D3" s="202"/>
      <c r="E3" s="202"/>
      <c r="F3" s="202"/>
      <c r="G3" s="202"/>
      <c r="H3" s="202"/>
      <c r="I3" s="202"/>
      <c r="J3" s="202"/>
      <c r="K3" s="202"/>
      <c r="L3" s="202"/>
      <c r="M3" s="202"/>
      <c r="N3" s="202"/>
      <c r="O3" s="202"/>
      <c r="P3" s="202"/>
      <c r="Q3" s="94"/>
    </row>
    <row r="4" spans="2:17" ht="12.75" customHeight="1" x14ac:dyDescent="0.25">
      <c r="B4" s="93"/>
      <c r="Q4" s="94"/>
    </row>
    <row r="5" spans="2:17" ht="19.2" thickBot="1" x14ac:dyDescent="0.35">
      <c r="B5" s="95"/>
      <c r="C5" s="104" t="s">
        <v>96</v>
      </c>
      <c r="D5" s="96"/>
      <c r="E5" s="96"/>
      <c r="F5" s="96"/>
      <c r="G5" s="96"/>
      <c r="H5" s="96"/>
      <c r="I5" s="96"/>
      <c r="J5" s="96"/>
      <c r="K5" s="96"/>
      <c r="L5" s="96"/>
      <c r="M5" s="96"/>
      <c r="N5" s="96"/>
      <c r="O5" s="96"/>
      <c r="P5" s="96"/>
      <c r="Q5" s="97"/>
    </row>
    <row r="6" spans="2:17" ht="12.75" customHeight="1" thickTop="1" x14ac:dyDescent="0.25">
      <c r="B6" s="93"/>
      <c r="Q6" s="94"/>
    </row>
    <row r="7" spans="2:17" ht="12.75" customHeight="1" x14ac:dyDescent="0.25">
      <c r="B7" s="93"/>
      <c r="C7" s="203" t="s">
        <v>99</v>
      </c>
      <c r="D7" s="203"/>
      <c r="E7" s="203"/>
      <c r="F7" s="203"/>
      <c r="Q7" s="94"/>
    </row>
    <row r="8" spans="2:17" ht="6" customHeight="1" x14ac:dyDescent="0.25">
      <c r="B8" s="93"/>
      <c r="C8" s="204"/>
      <c r="D8" s="204"/>
      <c r="E8" s="204"/>
      <c r="F8" s="204"/>
      <c r="Q8" s="94"/>
    </row>
    <row r="9" spans="2:17" ht="12.75" customHeight="1" x14ac:dyDescent="0.25">
      <c r="B9" s="93"/>
      <c r="C9" s="203" t="s">
        <v>9</v>
      </c>
      <c r="D9" s="203"/>
      <c r="E9" s="203"/>
      <c r="F9" s="203"/>
      <c r="Q9" s="94"/>
    </row>
    <row r="10" spans="2:17" ht="6" customHeight="1" x14ac:dyDescent="0.25">
      <c r="B10" s="93"/>
      <c r="C10" s="204"/>
      <c r="D10" s="204"/>
      <c r="E10" s="204"/>
      <c r="F10" s="204"/>
      <c r="Q10" s="94"/>
    </row>
    <row r="11" spans="2:17" ht="12.75" customHeight="1" x14ac:dyDescent="0.25">
      <c r="B11" s="93"/>
      <c r="C11" s="203" t="s">
        <v>104</v>
      </c>
      <c r="D11" s="203"/>
      <c r="E11" s="203"/>
      <c r="F11" s="203"/>
      <c r="Q11" s="94"/>
    </row>
    <row r="12" spans="2:17" ht="6" customHeight="1" x14ac:dyDescent="0.25">
      <c r="B12" s="93"/>
      <c r="C12" s="204"/>
      <c r="D12" s="204"/>
      <c r="E12" s="204"/>
      <c r="F12" s="204"/>
      <c r="Q12" s="94"/>
    </row>
    <row r="13" spans="2:17" ht="12.75" customHeight="1" x14ac:dyDescent="0.25">
      <c r="B13" s="93"/>
      <c r="C13" s="203" t="s">
        <v>100</v>
      </c>
      <c r="D13" s="203"/>
      <c r="E13" s="203"/>
      <c r="F13" s="203"/>
      <c r="Q13" s="94"/>
    </row>
    <row r="14" spans="2:17" ht="6" customHeight="1" thickBot="1" x14ac:dyDescent="0.3">
      <c r="B14" s="93"/>
      <c r="C14" s="218"/>
      <c r="D14" s="218"/>
      <c r="E14" s="218"/>
      <c r="F14" s="218"/>
      <c r="Q14" s="94" t="s">
        <v>209</v>
      </c>
    </row>
    <row r="15" spans="2:17" ht="26.25" customHeight="1" thickBot="1" x14ac:dyDescent="0.3">
      <c r="B15" s="93"/>
      <c r="C15" s="219" t="s">
        <v>78</v>
      </c>
      <c r="D15" s="219"/>
      <c r="E15" s="219"/>
      <c r="F15" s="219"/>
      <c r="G15" s="219"/>
      <c r="H15" s="219"/>
      <c r="I15" s="205" t="s">
        <v>81</v>
      </c>
      <c r="J15" s="205"/>
      <c r="K15" s="205"/>
      <c r="L15" s="205"/>
      <c r="M15" s="205"/>
      <c r="N15" s="205"/>
      <c r="O15" s="205"/>
      <c r="P15" s="205"/>
      <c r="Q15" s="94"/>
    </row>
    <row r="16" spans="2:17" x14ac:dyDescent="0.25">
      <c r="B16" s="93"/>
      <c r="C16" s="5">
        <v>1</v>
      </c>
      <c r="D16" s="217" t="s">
        <v>345</v>
      </c>
      <c r="E16" s="217"/>
      <c r="F16" s="217"/>
      <c r="G16" s="217"/>
      <c r="H16" s="217"/>
      <c r="I16" s="206" t="s">
        <v>97</v>
      </c>
      <c r="J16" s="206"/>
      <c r="K16" s="206"/>
      <c r="L16" s="206"/>
      <c r="M16" s="206"/>
      <c r="N16" s="206"/>
      <c r="O16" s="206"/>
      <c r="P16" s="206"/>
      <c r="Q16" s="94"/>
    </row>
    <row r="17" spans="2:17" x14ac:dyDescent="0.25">
      <c r="B17" s="93"/>
      <c r="C17" s="4" t="s">
        <v>346</v>
      </c>
      <c r="D17" s="220" t="s">
        <v>85</v>
      </c>
      <c r="E17" s="220"/>
      <c r="F17" s="220"/>
      <c r="G17" s="220"/>
      <c r="H17" s="220"/>
      <c r="I17" s="206" t="s">
        <v>98</v>
      </c>
      <c r="J17" s="206"/>
      <c r="K17" s="206"/>
      <c r="L17" s="206"/>
      <c r="M17" s="206"/>
      <c r="N17" s="206"/>
      <c r="O17" s="206"/>
      <c r="P17" s="206"/>
      <c r="Q17" s="94"/>
    </row>
    <row r="18" spans="2:17" x14ac:dyDescent="0.25">
      <c r="B18" s="93"/>
      <c r="C18" s="4" t="s">
        <v>423</v>
      </c>
      <c r="D18" s="220" t="s">
        <v>86</v>
      </c>
      <c r="E18" s="220"/>
      <c r="F18" s="220"/>
      <c r="G18" s="220"/>
      <c r="H18" s="220"/>
      <c r="I18" s="206" t="s">
        <v>98</v>
      </c>
      <c r="J18" s="206"/>
      <c r="K18" s="206"/>
      <c r="L18" s="206"/>
      <c r="M18" s="206"/>
      <c r="N18" s="206"/>
      <c r="O18" s="206"/>
      <c r="P18" s="206"/>
      <c r="Q18" s="94"/>
    </row>
    <row r="19" spans="2:17" x14ac:dyDescent="0.25">
      <c r="B19" s="93"/>
      <c r="C19" s="11">
        <v>2</v>
      </c>
      <c r="D19" s="216" t="s">
        <v>83</v>
      </c>
      <c r="E19" s="216"/>
      <c r="F19" s="216"/>
      <c r="G19" s="216"/>
      <c r="H19" s="216"/>
      <c r="I19" s="213" t="s">
        <v>97</v>
      </c>
      <c r="J19" s="213"/>
      <c r="K19" s="213"/>
      <c r="L19" s="213"/>
      <c r="M19" s="213"/>
      <c r="N19" s="213"/>
      <c r="O19" s="213"/>
      <c r="P19" s="213"/>
      <c r="Q19" s="94"/>
    </row>
    <row r="20" spans="2:17" x14ac:dyDescent="0.25">
      <c r="B20" s="93"/>
      <c r="C20" s="11">
        <v>3</v>
      </c>
      <c r="D20" s="216" t="s">
        <v>84</v>
      </c>
      <c r="E20" s="216"/>
      <c r="F20" s="216"/>
      <c r="G20" s="216"/>
      <c r="H20" s="216"/>
      <c r="I20" s="213" t="s">
        <v>97</v>
      </c>
      <c r="J20" s="213"/>
      <c r="K20" s="213"/>
      <c r="L20" s="213"/>
      <c r="M20" s="213"/>
      <c r="N20" s="213"/>
      <c r="O20" s="213"/>
      <c r="P20" s="213"/>
      <c r="Q20" s="94"/>
    </row>
    <row r="21" spans="2:17" ht="25.5" customHeight="1" x14ac:dyDescent="0.25">
      <c r="B21" s="93"/>
      <c r="C21" s="6" t="s">
        <v>349</v>
      </c>
      <c r="D21" s="217" t="s">
        <v>347</v>
      </c>
      <c r="E21" s="217"/>
      <c r="F21" s="217"/>
      <c r="G21" s="217"/>
      <c r="H21" s="217"/>
      <c r="I21" s="206" t="s">
        <v>97</v>
      </c>
      <c r="J21" s="206"/>
      <c r="K21" s="206"/>
      <c r="L21" s="206"/>
      <c r="M21" s="206"/>
      <c r="N21" s="206"/>
      <c r="O21" s="206"/>
      <c r="P21" s="206"/>
      <c r="Q21" s="94"/>
    </row>
    <row r="22" spans="2:17" x14ac:dyDescent="0.25">
      <c r="B22" s="93"/>
      <c r="C22" s="4" t="s">
        <v>348</v>
      </c>
      <c r="D22" s="220" t="s">
        <v>35</v>
      </c>
      <c r="E22" s="220"/>
      <c r="F22" s="220"/>
      <c r="G22" s="220"/>
      <c r="H22" s="220"/>
      <c r="I22" s="209" t="s">
        <v>243</v>
      </c>
      <c r="J22" s="209"/>
      <c r="K22" s="209"/>
      <c r="L22" s="209"/>
      <c r="M22" s="209"/>
      <c r="N22" s="209"/>
      <c r="O22" s="209"/>
      <c r="P22" s="209"/>
      <c r="Q22" s="94"/>
    </row>
    <row r="23" spans="2:17" x14ac:dyDescent="0.25">
      <c r="B23" s="93"/>
      <c r="C23" s="4" t="s">
        <v>431</v>
      </c>
      <c r="D23" s="220" t="s">
        <v>80</v>
      </c>
      <c r="E23" s="220"/>
      <c r="F23" s="220"/>
      <c r="G23" s="220"/>
      <c r="H23" s="220"/>
      <c r="I23" s="206" t="s">
        <v>98</v>
      </c>
      <c r="J23" s="206"/>
      <c r="K23" s="206"/>
      <c r="L23" s="206"/>
      <c r="M23" s="206"/>
      <c r="N23" s="206"/>
      <c r="O23" s="206"/>
      <c r="P23" s="206"/>
      <c r="Q23" s="94"/>
    </row>
    <row r="24" spans="2:17" x14ac:dyDescent="0.25">
      <c r="B24" s="93"/>
      <c r="C24" s="11">
        <v>5</v>
      </c>
      <c r="D24" s="216" t="s">
        <v>0</v>
      </c>
      <c r="E24" s="216"/>
      <c r="F24" s="216"/>
      <c r="G24" s="216"/>
      <c r="H24" s="216"/>
      <c r="I24" s="207" t="s">
        <v>60</v>
      </c>
      <c r="J24" s="207"/>
      <c r="K24" s="207"/>
      <c r="L24" s="207"/>
      <c r="M24" s="207"/>
      <c r="N24" s="207"/>
      <c r="O24" s="207"/>
      <c r="P24" s="207"/>
      <c r="Q24" s="94"/>
    </row>
    <row r="25" spans="2:17" ht="25.5" customHeight="1" x14ac:dyDescent="0.25">
      <c r="B25" s="93"/>
      <c r="C25" s="5">
        <v>6</v>
      </c>
      <c r="D25" s="217" t="s">
        <v>350</v>
      </c>
      <c r="E25" s="217"/>
      <c r="F25" s="217"/>
      <c r="G25" s="217"/>
      <c r="H25" s="217"/>
      <c r="I25" s="214" t="s">
        <v>97</v>
      </c>
      <c r="J25" s="214"/>
      <c r="K25" s="214"/>
      <c r="L25" s="214"/>
      <c r="M25" s="214"/>
      <c r="N25" s="214"/>
      <c r="O25" s="214"/>
      <c r="P25" s="214"/>
      <c r="Q25" s="94"/>
    </row>
    <row r="26" spans="2:17" ht="25.5" customHeight="1" x14ac:dyDescent="0.25">
      <c r="B26" s="93"/>
      <c r="C26" s="7">
        <v>6.12</v>
      </c>
      <c r="D26" s="220" t="s">
        <v>405</v>
      </c>
      <c r="E26" s="220"/>
      <c r="F26" s="220"/>
      <c r="G26" s="220"/>
      <c r="H26" s="220"/>
      <c r="I26" s="209" t="s">
        <v>61</v>
      </c>
      <c r="J26" s="209"/>
      <c r="K26" s="209"/>
      <c r="L26" s="209"/>
      <c r="M26" s="209"/>
      <c r="N26" s="209"/>
      <c r="O26" s="209"/>
      <c r="P26" s="209"/>
      <c r="Q26" s="94"/>
    </row>
    <row r="27" spans="2:17" x14ac:dyDescent="0.25">
      <c r="B27" s="93"/>
      <c r="C27" s="7">
        <v>6.13</v>
      </c>
      <c r="D27" s="220" t="s">
        <v>351</v>
      </c>
      <c r="E27" s="220"/>
      <c r="F27" s="220"/>
      <c r="G27" s="220"/>
      <c r="H27" s="220"/>
      <c r="I27" s="209" t="s">
        <v>64</v>
      </c>
      <c r="J27" s="209"/>
      <c r="K27" s="209"/>
      <c r="L27" s="209"/>
      <c r="M27" s="209"/>
      <c r="N27" s="209"/>
      <c r="O27" s="209"/>
      <c r="P27" s="209"/>
      <c r="Q27" s="94"/>
    </row>
    <row r="28" spans="2:17" ht="26.25" customHeight="1" x14ac:dyDescent="0.25">
      <c r="B28" s="93"/>
      <c r="C28" s="4">
        <v>6.14</v>
      </c>
      <c r="D28" s="220" t="s">
        <v>352</v>
      </c>
      <c r="E28" s="220"/>
      <c r="F28" s="220"/>
      <c r="G28" s="220"/>
      <c r="H28" s="220"/>
      <c r="I28" s="209" t="s">
        <v>64</v>
      </c>
      <c r="J28" s="209"/>
      <c r="K28" s="209"/>
      <c r="L28" s="209"/>
      <c r="M28" s="209"/>
      <c r="N28" s="209"/>
      <c r="O28" s="209"/>
      <c r="P28" s="209"/>
      <c r="Q28" s="94"/>
    </row>
    <row r="29" spans="2:17" x14ac:dyDescent="0.25">
      <c r="B29" s="93"/>
      <c r="C29" s="4" t="s">
        <v>413</v>
      </c>
      <c r="D29" s="220" t="s">
        <v>87</v>
      </c>
      <c r="E29" s="220"/>
      <c r="F29" s="220"/>
      <c r="G29" s="220"/>
      <c r="H29" s="220"/>
      <c r="I29" s="210" t="s">
        <v>65</v>
      </c>
      <c r="J29" s="210"/>
      <c r="K29" s="210"/>
      <c r="L29" s="210"/>
      <c r="M29" s="210"/>
      <c r="N29" s="210"/>
      <c r="O29" s="210"/>
      <c r="P29" s="210"/>
      <c r="Q29" s="94"/>
    </row>
    <row r="30" spans="2:17" x14ac:dyDescent="0.25">
      <c r="B30" s="93"/>
      <c r="C30" s="11">
        <v>7</v>
      </c>
      <c r="D30" s="216" t="s">
        <v>2</v>
      </c>
      <c r="E30" s="216"/>
      <c r="F30" s="216"/>
      <c r="G30" s="216"/>
      <c r="H30" s="216"/>
      <c r="I30" s="207" t="s">
        <v>66</v>
      </c>
      <c r="J30" s="207"/>
      <c r="K30" s="207"/>
      <c r="L30" s="207"/>
      <c r="M30" s="207"/>
      <c r="N30" s="207"/>
      <c r="O30" s="207"/>
      <c r="P30" s="207"/>
      <c r="Q30" s="94"/>
    </row>
    <row r="31" spans="2:17" x14ac:dyDescent="0.25">
      <c r="B31" s="93"/>
      <c r="C31" s="195">
        <v>8</v>
      </c>
      <c r="D31" s="215" t="s">
        <v>3</v>
      </c>
      <c r="E31" s="215"/>
      <c r="F31" s="215"/>
      <c r="G31" s="215"/>
      <c r="H31" s="215"/>
      <c r="I31" s="211" t="s">
        <v>67</v>
      </c>
      <c r="J31" s="211"/>
      <c r="K31" s="211"/>
      <c r="L31" s="211"/>
      <c r="M31" s="211"/>
      <c r="N31" s="211"/>
      <c r="O31" s="211"/>
      <c r="P31" s="211"/>
      <c r="Q31" s="94"/>
    </row>
    <row r="32" spans="2:17" x14ac:dyDescent="0.25">
      <c r="B32" s="93"/>
      <c r="C32" s="5"/>
      <c r="D32" s="220" t="s">
        <v>259</v>
      </c>
      <c r="E32" s="220"/>
      <c r="F32" s="220"/>
      <c r="G32" s="220"/>
      <c r="H32" s="220"/>
      <c r="I32" s="209" t="s">
        <v>67</v>
      </c>
      <c r="J32" s="209"/>
      <c r="K32" s="209"/>
      <c r="L32" s="209"/>
      <c r="M32" s="209"/>
      <c r="N32" s="209"/>
      <c r="O32" s="209"/>
      <c r="P32" s="209"/>
      <c r="Q32" s="94"/>
    </row>
    <row r="33" spans="2:17" x14ac:dyDescent="0.25">
      <c r="B33" s="93"/>
      <c r="C33" s="5"/>
      <c r="D33" s="220" t="s">
        <v>260</v>
      </c>
      <c r="E33" s="220"/>
      <c r="F33" s="220"/>
      <c r="G33" s="220"/>
      <c r="H33" s="220"/>
      <c r="I33" s="209" t="s">
        <v>67</v>
      </c>
      <c r="J33" s="209"/>
      <c r="K33" s="209"/>
      <c r="L33" s="209"/>
      <c r="M33" s="209"/>
      <c r="N33" s="209"/>
      <c r="O33" s="209"/>
      <c r="P33" s="209"/>
      <c r="Q33" s="94"/>
    </row>
    <row r="34" spans="2:17" x14ac:dyDescent="0.25">
      <c r="B34" s="93"/>
      <c r="C34" s="5"/>
      <c r="D34" s="220" t="s">
        <v>375</v>
      </c>
      <c r="E34" s="220"/>
      <c r="F34" s="220"/>
      <c r="G34" s="220"/>
      <c r="H34" s="220"/>
      <c r="I34" s="209" t="s">
        <v>67</v>
      </c>
      <c r="J34" s="209"/>
      <c r="K34" s="209"/>
      <c r="L34" s="209"/>
      <c r="M34" s="209"/>
      <c r="N34" s="209"/>
      <c r="O34" s="209"/>
      <c r="P34" s="209"/>
      <c r="Q34" s="94"/>
    </row>
    <row r="35" spans="2:17" x14ac:dyDescent="0.25">
      <c r="B35" s="93"/>
      <c r="C35" s="5"/>
      <c r="D35" s="220" t="s">
        <v>378</v>
      </c>
      <c r="E35" s="220"/>
      <c r="F35" s="220"/>
      <c r="G35" s="220"/>
      <c r="H35" s="220"/>
      <c r="I35" s="209" t="s">
        <v>67</v>
      </c>
      <c r="J35" s="209"/>
      <c r="K35" s="209"/>
      <c r="L35" s="209"/>
      <c r="M35" s="209"/>
      <c r="N35" s="209"/>
      <c r="O35" s="209"/>
      <c r="P35" s="209"/>
      <c r="Q35" s="94"/>
    </row>
    <row r="36" spans="2:17" x14ac:dyDescent="0.25">
      <c r="B36" s="93"/>
      <c r="C36" s="5"/>
      <c r="D36" s="220" t="s">
        <v>379</v>
      </c>
      <c r="E36" s="220"/>
      <c r="F36" s="220"/>
      <c r="G36" s="220"/>
      <c r="H36" s="220"/>
      <c r="I36" s="209" t="s">
        <v>67</v>
      </c>
      <c r="J36" s="209"/>
      <c r="K36" s="209"/>
      <c r="L36" s="209"/>
      <c r="M36" s="209"/>
      <c r="N36" s="209"/>
      <c r="O36" s="209"/>
      <c r="P36" s="209"/>
      <c r="Q36" s="94"/>
    </row>
    <row r="37" spans="2:17" x14ac:dyDescent="0.25">
      <c r="B37" s="93"/>
      <c r="C37" s="196"/>
      <c r="D37" s="223" t="s">
        <v>383</v>
      </c>
      <c r="E37" s="223"/>
      <c r="F37" s="223"/>
      <c r="G37" s="223"/>
      <c r="H37" s="223"/>
      <c r="I37" s="210" t="s">
        <v>67</v>
      </c>
      <c r="J37" s="210"/>
      <c r="K37" s="210"/>
      <c r="L37" s="210"/>
      <c r="M37" s="210"/>
      <c r="N37" s="210"/>
      <c r="O37" s="210"/>
      <c r="P37" s="210"/>
      <c r="Q37" s="94"/>
    </row>
    <row r="38" spans="2:17" x14ac:dyDescent="0.25">
      <c r="B38" s="93"/>
      <c r="C38" s="11">
        <v>9</v>
      </c>
      <c r="D38" s="216" t="s">
        <v>4</v>
      </c>
      <c r="E38" s="216"/>
      <c r="F38" s="216"/>
      <c r="G38" s="216"/>
      <c r="H38" s="216"/>
      <c r="I38" s="207" t="s">
        <v>76</v>
      </c>
      <c r="J38" s="207"/>
      <c r="K38" s="207"/>
      <c r="L38" s="207"/>
      <c r="M38" s="207"/>
      <c r="N38" s="207"/>
      <c r="O38" s="207"/>
      <c r="P38" s="207"/>
      <c r="Q38" s="94"/>
    </row>
    <row r="39" spans="2:17" x14ac:dyDescent="0.25">
      <c r="B39" s="93"/>
      <c r="C39" s="5">
        <v>10</v>
      </c>
      <c r="D39" s="217" t="s">
        <v>5</v>
      </c>
      <c r="E39" s="217"/>
      <c r="F39" s="217"/>
      <c r="G39" s="217"/>
      <c r="H39" s="217"/>
      <c r="I39" s="211" t="s">
        <v>77</v>
      </c>
      <c r="J39" s="211"/>
      <c r="K39" s="211"/>
      <c r="L39" s="211"/>
      <c r="M39" s="211"/>
      <c r="N39" s="211"/>
      <c r="O39" s="211"/>
      <c r="P39" s="211"/>
      <c r="Q39" s="94"/>
    </row>
    <row r="40" spans="2:17" x14ac:dyDescent="0.25">
      <c r="B40" s="93"/>
      <c r="C40" s="4" t="s">
        <v>389</v>
      </c>
      <c r="D40" s="220" t="s">
        <v>89</v>
      </c>
      <c r="E40" s="220"/>
      <c r="F40" s="220"/>
      <c r="G40" s="220"/>
      <c r="H40" s="220"/>
      <c r="I40" s="212" t="s">
        <v>77</v>
      </c>
      <c r="J40" s="212"/>
      <c r="K40" s="212"/>
      <c r="L40" s="212"/>
      <c r="M40" s="212"/>
      <c r="N40" s="212"/>
      <c r="O40" s="212"/>
      <c r="P40" s="212"/>
      <c r="Q40" s="94"/>
    </row>
    <row r="41" spans="2:17" x14ac:dyDescent="0.25">
      <c r="B41" s="93"/>
      <c r="C41" s="4" t="s">
        <v>391</v>
      </c>
      <c r="D41" s="220" t="s">
        <v>90</v>
      </c>
      <c r="E41" s="220"/>
      <c r="F41" s="220"/>
      <c r="G41" s="220"/>
      <c r="H41" s="220"/>
      <c r="I41" s="209" t="s">
        <v>77</v>
      </c>
      <c r="J41" s="209"/>
      <c r="K41" s="209"/>
      <c r="L41" s="209"/>
      <c r="M41" s="209"/>
      <c r="N41" s="209"/>
      <c r="O41" s="209"/>
      <c r="P41" s="209"/>
      <c r="Q41" s="94"/>
    </row>
    <row r="42" spans="2:17" x14ac:dyDescent="0.25">
      <c r="B42" s="93"/>
      <c r="C42" s="4" t="s">
        <v>394</v>
      </c>
      <c r="D42" s="220" t="s">
        <v>91</v>
      </c>
      <c r="E42" s="220"/>
      <c r="F42" s="220"/>
      <c r="G42" s="220"/>
      <c r="H42" s="220"/>
      <c r="I42" s="209" t="s">
        <v>77</v>
      </c>
      <c r="J42" s="209"/>
      <c r="K42" s="209"/>
      <c r="L42" s="209"/>
      <c r="M42" s="209"/>
      <c r="N42" s="209"/>
      <c r="O42" s="209"/>
      <c r="P42" s="209"/>
      <c r="Q42" s="94"/>
    </row>
    <row r="43" spans="2:17" x14ac:dyDescent="0.25">
      <c r="B43" s="93"/>
      <c r="C43" s="4" t="s">
        <v>93</v>
      </c>
      <c r="D43" s="220" t="s">
        <v>92</v>
      </c>
      <c r="E43" s="220"/>
      <c r="F43" s="220"/>
      <c r="G43" s="220"/>
      <c r="H43" s="220"/>
      <c r="I43" s="209" t="s">
        <v>77</v>
      </c>
      <c r="J43" s="209"/>
      <c r="K43" s="209"/>
      <c r="L43" s="209"/>
      <c r="M43" s="209"/>
      <c r="N43" s="209"/>
      <c r="O43" s="209"/>
      <c r="P43" s="209"/>
      <c r="Q43" s="94"/>
    </row>
    <row r="44" spans="2:17" x14ac:dyDescent="0.25">
      <c r="B44" s="93"/>
      <c r="C44" s="4" t="s">
        <v>396</v>
      </c>
      <c r="D44" s="220" t="s">
        <v>94</v>
      </c>
      <c r="E44" s="220"/>
      <c r="F44" s="220"/>
      <c r="G44" s="220"/>
      <c r="H44" s="220"/>
      <c r="I44" s="209" t="s">
        <v>241</v>
      </c>
      <c r="J44" s="209"/>
      <c r="K44" s="209"/>
      <c r="L44" s="209"/>
      <c r="M44" s="209"/>
      <c r="N44" s="209"/>
      <c r="O44" s="209"/>
      <c r="P44" s="209"/>
      <c r="Q44" s="94"/>
    </row>
    <row r="45" spans="2:17" x14ac:dyDescent="0.25">
      <c r="B45" s="93"/>
      <c r="C45" s="4" t="s">
        <v>426</v>
      </c>
      <c r="D45" s="220" t="s">
        <v>289</v>
      </c>
      <c r="E45" s="220"/>
      <c r="F45" s="220"/>
      <c r="G45" s="220"/>
      <c r="H45" s="220"/>
      <c r="I45" s="210" t="s">
        <v>241</v>
      </c>
      <c r="J45" s="210"/>
      <c r="K45" s="210"/>
      <c r="L45" s="210"/>
      <c r="M45" s="210"/>
      <c r="N45" s="210"/>
      <c r="O45" s="210"/>
      <c r="P45" s="210"/>
      <c r="Q45" s="94"/>
    </row>
    <row r="46" spans="2:17" x14ac:dyDescent="0.25">
      <c r="B46" s="93"/>
      <c r="C46" s="11">
        <v>11</v>
      </c>
      <c r="D46" s="216" t="s">
        <v>6</v>
      </c>
      <c r="E46" s="216"/>
      <c r="F46" s="216"/>
      <c r="G46" s="216"/>
      <c r="H46" s="216"/>
      <c r="I46" s="213" t="s">
        <v>98</v>
      </c>
      <c r="J46" s="213"/>
      <c r="K46" s="213"/>
      <c r="L46" s="213"/>
      <c r="M46" s="213"/>
      <c r="N46" s="213"/>
      <c r="O46" s="213"/>
      <c r="P46" s="213"/>
      <c r="Q46" s="94"/>
    </row>
    <row r="47" spans="2:17" x14ac:dyDescent="0.25">
      <c r="B47" s="93"/>
      <c r="C47" s="11">
        <v>12</v>
      </c>
      <c r="D47" s="216" t="s">
        <v>7</v>
      </c>
      <c r="E47" s="216"/>
      <c r="F47" s="216"/>
      <c r="G47" s="216"/>
      <c r="H47" s="216"/>
      <c r="I47" s="207" t="s">
        <v>242</v>
      </c>
      <c r="J47" s="207"/>
      <c r="K47" s="207"/>
      <c r="L47" s="207"/>
      <c r="M47" s="207"/>
      <c r="N47" s="207"/>
      <c r="O47" s="207"/>
      <c r="P47" s="207"/>
      <c r="Q47" s="94"/>
    </row>
    <row r="48" spans="2:17" ht="13.8" thickBot="1" x14ac:dyDescent="0.3">
      <c r="B48" s="93"/>
      <c r="C48" s="12">
        <v>13</v>
      </c>
      <c r="D48" s="222" t="s">
        <v>8</v>
      </c>
      <c r="E48" s="222"/>
      <c r="F48" s="222"/>
      <c r="G48" s="222"/>
      <c r="H48" s="222"/>
      <c r="I48" s="208" t="s">
        <v>242</v>
      </c>
      <c r="J48" s="208"/>
      <c r="K48" s="208"/>
      <c r="L48" s="208"/>
      <c r="M48" s="208"/>
      <c r="N48" s="208"/>
      <c r="O48" s="208"/>
      <c r="P48" s="208"/>
      <c r="Q48" s="94"/>
    </row>
    <row r="49" spans="2:17" ht="6" customHeight="1" x14ac:dyDescent="0.25">
      <c r="B49" s="93"/>
      <c r="C49" s="98"/>
      <c r="Q49" s="94"/>
    </row>
    <row r="50" spans="2:17" x14ac:dyDescent="0.25">
      <c r="B50" s="93"/>
      <c r="C50" s="221" t="s">
        <v>283</v>
      </c>
      <c r="D50" s="221"/>
      <c r="E50" s="221"/>
      <c r="F50" s="221"/>
      <c r="Q50" s="94"/>
    </row>
    <row r="51" spans="2:17" x14ac:dyDescent="0.25">
      <c r="B51" s="93"/>
      <c r="C51" s="98"/>
      <c r="Q51" s="94"/>
    </row>
    <row r="52" spans="2:17" x14ac:dyDescent="0.25">
      <c r="B52" s="93"/>
      <c r="C52" s="200" t="s">
        <v>430</v>
      </c>
      <c r="Q52" s="94"/>
    </row>
    <row r="53" spans="2:17" x14ac:dyDescent="0.25">
      <c r="B53" s="93"/>
      <c r="C53" s="100" t="s">
        <v>441</v>
      </c>
      <c r="Q53" s="94"/>
    </row>
    <row r="54" spans="2:17" x14ac:dyDescent="0.25">
      <c r="B54" s="93"/>
      <c r="C54" s="99" t="s">
        <v>442</v>
      </c>
      <c r="Q54" s="94"/>
    </row>
    <row r="55" spans="2:17" x14ac:dyDescent="0.25">
      <c r="B55" s="101"/>
      <c r="C55" s="102"/>
      <c r="D55" s="102"/>
      <c r="E55" s="102"/>
      <c r="F55" s="102"/>
      <c r="G55" s="102"/>
      <c r="H55" s="102"/>
      <c r="I55" s="102"/>
      <c r="J55" s="102"/>
      <c r="K55" s="102"/>
      <c r="L55" s="102"/>
      <c r="M55" s="102"/>
      <c r="N55" s="102"/>
      <c r="O55" s="102"/>
      <c r="P55" s="102"/>
      <c r="Q55" s="103"/>
    </row>
  </sheetData>
  <sheetProtection algorithmName="SHA-512" hashValue="7Ehl9ltUvUUbw1zbn/JnI9IkeUfikaOy5IowTHHCqLqN2EVrBOyo3s6wK4OAc5fzSVDpu6ER2Rzi4DXp+C5SDQ==" saltValue="qN7o3T5QJrMYVKpJglaTPA==" spinCount="100000" sheet="1" selectLockedCells="1"/>
  <mergeCells count="78">
    <mergeCell ref="I27:P27"/>
    <mergeCell ref="I33:P33"/>
    <mergeCell ref="I34:P34"/>
    <mergeCell ref="I35:P35"/>
    <mergeCell ref="I36:P36"/>
    <mergeCell ref="I37:P37"/>
    <mergeCell ref="D33:H33"/>
    <mergeCell ref="D34:H34"/>
    <mergeCell ref="D35:H35"/>
    <mergeCell ref="D36:H36"/>
    <mergeCell ref="D37:H37"/>
    <mergeCell ref="C50:F50"/>
    <mergeCell ref="D24:H24"/>
    <mergeCell ref="D42:H42"/>
    <mergeCell ref="D43:H43"/>
    <mergeCell ref="D44:H44"/>
    <mergeCell ref="D45:H45"/>
    <mergeCell ref="D40:H40"/>
    <mergeCell ref="D41:H41"/>
    <mergeCell ref="D26:H26"/>
    <mergeCell ref="D28:H28"/>
    <mergeCell ref="D25:H25"/>
    <mergeCell ref="D46:H46"/>
    <mergeCell ref="D47:H47"/>
    <mergeCell ref="D48:H48"/>
    <mergeCell ref="D29:H29"/>
    <mergeCell ref="D30:H30"/>
    <mergeCell ref="D31:H31"/>
    <mergeCell ref="D38:H38"/>
    <mergeCell ref="D39:H39"/>
    <mergeCell ref="C14:F14"/>
    <mergeCell ref="C15:H15"/>
    <mergeCell ref="D16:H16"/>
    <mergeCell ref="D17:H17"/>
    <mergeCell ref="D18:H18"/>
    <mergeCell ref="D19:H19"/>
    <mergeCell ref="D20:H20"/>
    <mergeCell ref="D21:H21"/>
    <mergeCell ref="D22:H22"/>
    <mergeCell ref="D23:H23"/>
    <mergeCell ref="D27:H27"/>
    <mergeCell ref="D32:H32"/>
    <mergeCell ref="I19:P19"/>
    <mergeCell ref="I20:P20"/>
    <mergeCell ref="I25:P25"/>
    <mergeCell ref="I26:P26"/>
    <mergeCell ref="I21:P21"/>
    <mergeCell ref="I22:P22"/>
    <mergeCell ref="I23:P23"/>
    <mergeCell ref="I24:P24"/>
    <mergeCell ref="I47:P47"/>
    <mergeCell ref="I48:P48"/>
    <mergeCell ref="I28:P28"/>
    <mergeCell ref="I29:P29"/>
    <mergeCell ref="I30:P30"/>
    <mergeCell ref="I31:P31"/>
    <mergeCell ref="I38:P38"/>
    <mergeCell ref="I39:P39"/>
    <mergeCell ref="I40:P40"/>
    <mergeCell ref="I41:P41"/>
    <mergeCell ref="I42:P42"/>
    <mergeCell ref="I43:P43"/>
    <mergeCell ref="I44:P44"/>
    <mergeCell ref="I45:P45"/>
    <mergeCell ref="I46:P46"/>
    <mergeCell ref="I32:P32"/>
    <mergeCell ref="I15:P15"/>
    <mergeCell ref="I16:P16"/>
    <mergeCell ref="I17:P17"/>
    <mergeCell ref="I18:P18"/>
    <mergeCell ref="C11:F11"/>
    <mergeCell ref="C12:F12"/>
    <mergeCell ref="C13:F13"/>
    <mergeCell ref="C3:P3"/>
    <mergeCell ref="C7:F7"/>
    <mergeCell ref="C8:F8"/>
    <mergeCell ref="C9:F9"/>
    <mergeCell ref="C10:F10"/>
  </mergeCells>
  <hyperlinks>
    <hyperlink ref="C7:F7" location="Instructions!A1" display="Instructions" xr:uid="{00000000-0004-0000-0000-000000000000}"/>
    <hyperlink ref="C9:F9" location="'Application Details'!A1" display="Application Details" xr:uid="{00000000-0004-0000-0000-000001000000}"/>
    <hyperlink ref="C11:F11" location="'Development Details'!A1" display="Development Details" xr:uid="{00000000-0004-0000-0000-000002000000}"/>
    <hyperlink ref="C13:F13" location="Contents!A13" display="Calculation Sheets:" xr:uid="{00000000-0004-0000-0000-000003000000}"/>
    <hyperlink ref="I22:P22" location="K!A1" display="K" xr:uid="{00000000-0004-0000-0000-000006000000}"/>
    <hyperlink ref="I24:P24" location="A!A1" display="A" xr:uid="{00000000-0004-0000-0000-000007000000}"/>
    <hyperlink ref="C50:F50" location="'Requirements Summary'!A1" display="Requirements Summary" xr:uid="{00000000-0004-0000-0000-000011000000}"/>
    <hyperlink ref="I27" location="'C'!A1" display="C" xr:uid="{CDDA0DD1-7F3E-49EE-A139-9850566053B3}"/>
  </hyperlink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B2:P79"/>
  <sheetViews>
    <sheetView workbookViewId="0">
      <selection activeCell="I10" sqref="I10:O10"/>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373</v>
      </c>
      <c r="D3" s="96"/>
      <c r="E3" s="96"/>
      <c r="F3" s="96"/>
      <c r="G3" s="96"/>
      <c r="H3" s="96"/>
      <c r="I3" s="96"/>
      <c r="J3" s="96"/>
      <c r="K3" s="96"/>
      <c r="L3" s="96"/>
      <c r="M3" s="96"/>
      <c r="N3" s="96"/>
      <c r="O3" s="96"/>
      <c r="P3" s="97"/>
    </row>
    <row r="4" spans="2:16" ht="13.8" thickTop="1" x14ac:dyDescent="0.25">
      <c r="B4" s="93"/>
      <c r="P4" s="94"/>
    </row>
    <row r="5" spans="2:16" ht="16.8" x14ac:dyDescent="0.3">
      <c r="B5" s="93"/>
      <c r="C5" s="3" t="s">
        <v>126</v>
      </c>
      <c r="D5" s="3"/>
      <c r="E5" s="3"/>
      <c r="F5" s="3"/>
      <c r="G5" s="3"/>
      <c r="H5" s="3"/>
      <c r="I5" s="3"/>
      <c r="J5" s="3"/>
      <c r="K5" s="3"/>
      <c r="L5" s="3"/>
      <c r="P5" s="94"/>
    </row>
    <row r="6" spans="2:16" ht="13.8" thickBot="1" x14ac:dyDescent="0.3">
      <c r="B6" s="93"/>
      <c r="P6" s="94"/>
    </row>
    <row r="7" spans="2:16" ht="13.5" customHeight="1" thickBot="1" x14ac:dyDescent="0.3">
      <c r="B7" s="93"/>
      <c r="C7" s="238" t="s">
        <v>297</v>
      </c>
      <c r="D7" s="238"/>
      <c r="E7" s="238"/>
      <c r="F7" s="238"/>
      <c r="G7" s="239" t="s">
        <v>344</v>
      </c>
      <c r="H7" s="239"/>
      <c r="P7" s="94"/>
    </row>
    <row r="8" spans="2:16" ht="13.8" thickBot="1" x14ac:dyDescent="0.3">
      <c r="B8" s="93"/>
      <c r="C8" s="238"/>
      <c r="D8" s="238"/>
      <c r="E8" s="238"/>
      <c r="F8" s="238"/>
      <c r="G8" s="240"/>
      <c r="H8" s="240"/>
      <c r="P8" s="94"/>
    </row>
    <row r="9" spans="2:16" x14ac:dyDescent="0.25">
      <c r="B9" s="93"/>
      <c r="C9" s="85" t="s">
        <v>299</v>
      </c>
      <c r="D9" s="85"/>
      <c r="E9" s="85"/>
      <c r="F9" s="85"/>
      <c r="G9" s="246">
        <f>'Development Details'!F11</f>
        <v>0</v>
      </c>
      <c r="H9" s="246"/>
      <c r="I9" s="149" t="s">
        <v>400</v>
      </c>
      <c r="P9" s="94"/>
    </row>
    <row r="10" spans="2:16" ht="13.8" thickBot="1" x14ac:dyDescent="0.3">
      <c r="B10" s="93"/>
      <c r="C10" s="58" t="s">
        <v>298</v>
      </c>
      <c r="D10" s="58"/>
      <c r="E10" s="58"/>
      <c r="F10" s="58"/>
      <c r="G10" s="298">
        <f>'Population Yield'!L17</f>
        <v>0</v>
      </c>
      <c r="H10" s="298"/>
      <c r="I10" s="299" t="s">
        <v>278</v>
      </c>
      <c r="J10" s="299"/>
      <c r="K10" s="299"/>
      <c r="L10" s="299"/>
      <c r="M10" s="299"/>
      <c r="N10" s="299"/>
      <c r="O10" s="299"/>
      <c r="P10" s="94"/>
    </row>
    <row r="11" spans="2:16" ht="12.75" customHeight="1" thickBot="1" x14ac:dyDescent="0.3">
      <c r="B11" s="93"/>
      <c r="C11" s="70" t="s">
        <v>26</v>
      </c>
      <c r="D11" s="59"/>
      <c r="E11" s="59"/>
      <c r="F11" s="59"/>
      <c r="G11" s="243">
        <f>SUM(G9:G10)</f>
        <v>0</v>
      </c>
      <c r="H11" s="243"/>
      <c r="P11" s="94"/>
    </row>
    <row r="12" spans="2:16" x14ac:dyDescent="0.25">
      <c r="B12" s="93"/>
      <c r="P12" s="94"/>
    </row>
    <row r="13" spans="2:16" ht="12.75" customHeight="1" x14ac:dyDescent="0.25">
      <c r="B13" s="93"/>
      <c r="C13" t="s">
        <v>182</v>
      </c>
      <c r="F13" s="150">
        <f>'Population Yield'!L23</f>
        <v>0</v>
      </c>
      <c r="G13" s="206" t="s">
        <v>184</v>
      </c>
      <c r="H13" s="206"/>
      <c r="I13" s="206"/>
      <c r="J13" s="206"/>
      <c r="K13" s="206"/>
      <c r="L13" s="300" t="s">
        <v>278</v>
      </c>
      <c r="M13" s="300"/>
      <c r="P13" s="94"/>
    </row>
    <row r="14" spans="2:16" x14ac:dyDescent="0.25">
      <c r="B14" s="93"/>
      <c r="L14" s="300"/>
      <c r="M14" s="300"/>
      <c r="P14" s="94"/>
    </row>
    <row r="15" spans="2:16" x14ac:dyDescent="0.25">
      <c r="B15" s="93"/>
      <c r="C15" t="s">
        <v>183</v>
      </c>
      <c r="F15" s="150">
        <f>'Population Yield'!L24</f>
        <v>0</v>
      </c>
      <c r="G15" s="206" t="s">
        <v>185</v>
      </c>
      <c r="H15" s="206"/>
      <c r="I15" s="206"/>
      <c r="J15" s="206"/>
      <c r="K15" s="206"/>
      <c r="L15" s="300"/>
      <c r="M15" s="300"/>
      <c r="P15" s="94"/>
    </row>
    <row r="16" spans="2:16" x14ac:dyDescent="0.25">
      <c r="B16" s="93"/>
      <c r="P16" s="94"/>
    </row>
    <row r="17" spans="2:16" x14ac:dyDescent="0.25">
      <c r="B17" s="93"/>
      <c r="C17" s="301" t="s">
        <v>374</v>
      </c>
      <c r="D17" s="301"/>
      <c r="E17" s="301"/>
      <c r="F17" s="301"/>
      <c r="G17" s="301"/>
      <c r="H17" s="301"/>
      <c r="I17" s="301"/>
      <c r="J17" s="301"/>
      <c r="K17" s="301"/>
      <c r="L17" s="301"/>
      <c r="P17" s="94"/>
    </row>
    <row r="18" spans="2:16" x14ac:dyDescent="0.25">
      <c r="B18" s="93"/>
      <c r="C18" s="301"/>
      <c r="D18" s="301"/>
      <c r="E18" s="301"/>
      <c r="F18" s="301"/>
      <c r="G18" s="301"/>
      <c r="H18" s="301"/>
      <c r="I18" s="301"/>
      <c r="J18" s="301"/>
      <c r="K18" s="301"/>
      <c r="L18" s="301"/>
      <c r="P18" s="94"/>
    </row>
    <row r="19" spans="2:16" x14ac:dyDescent="0.25">
      <c r="B19" s="93"/>
      <c r="P19" s="94"/>
    </row>
    <row r="20" spans="2:16" ht="16.8" x14ac:dyDescent="0.3">
      <c r="B20" s="90"/>
      <c r="C20" s="127" t="s">
        <v>259</v>
      </c>
      <c r="D20" s="91"/>
      <c r="E20" s="91"/>
      <c r="F20" s="91"/>
      <c r="G20" s="91"/>
      <c r="H20" s="91"/>
      <c r="I20" s="91"/>
      <c r="J20" s="91"/>
      <c r="K20" s="91"/>
      <c r="L20" s="91"/>
      <c r="M20" s="91"/>
      <c r="N20" s="91"/>
      <c r="O20" s="91"/>
      <c r="P20" s="92"/>
    </row>
    <row r="21" spans="2:16" ht="16.8" x14ac:dyDescent="0.3">
      <c r="B21" s="93"/>
      <c r="C21" s="3"/>
      <c r="P21" s="94"/>
    </row>
    <row r="22" spans="2:16" x14ac:dyDescent="0.25">
      <c r="B22" s="93"/>
      <c r="C22" s="119" t="s">
        <v>101</v>
      </c>
      <c r="P22" s="94"/>
    </row>
    <row r="23" spans="2:16" x14ac:dyDescent="0.25">
      <c r="B23" s="93"/>
      <c r="P23" s="94"/>
    </row>
    <row r="24" spans="2:16" x14ac:dyDescent="0.25">
      <c r="B24" s="93"/>
      <c r="C24" s="139" t="str">
        <f>IF(F13&gt;=210,"Yes","No")</f>
        <v>No</v>
      </c>
      <c r="D24" s="1" t="s">
        <v>103</v>
      </c>
      <c r="E24" s="276" t="str">
        <f>IF(C24="Yes","The development is expected to result in 210 or more primary school age children", "The development is expected to result in less than 210 primary school age children")</f>
        <v>The development is expected to result in less than 210 primary school age children</v>
      </c>
      <c r="F24" s="276"/>
      <c r="G24" s="276"/>
      <c r="H24" s="276"/>
      <c r="I24" s="276"/>
      <c r="J24" s="276"/>
      <c r="K24" s="276"/>
      <c r="L24" s="276"/>
      <c r="P24" s="94"/>
    </row>
    <row r="25" spans="2:16" x14ac:dyDescent="0.25">
      <c r="B25" s="93"/>
      <c r="P25" s="94"/>
    </row>
    <row r="26" spans="2:16" x14ac:dyDescent="0.25">
      <c r="B26" s="93"/>
      <c r="C26" s="119" t="s">
        <v>226</v>
      </c>
      <c r="P26" s="94"/>
    </row>
    <row r="27" spans="2:16" x14ac:dyDescent="0.25">
      <c r="B27" s="93"/>
      <c r="P27" s="94"/>
    </row>
    <row r="28" spans="2:16" x14ac:dyDescent="0.25">
      <c r="B28" s="93"/>
      <c r="C28" s="292" t="s">
        <v>186</v>
      </c>
      <c r="D28" s="292"/>
      <c r="E28" s="292"/>
      <c r="F28" s="292"/>
      <c r="G28" s="292"/>
      <c r="H28" s="292"/>
      <c r="I28" s="141" t="s">
        <v>118</v>
      </c>
      <c r="J28" s="292" t="s">
        <v>257</v>
      </c>
      <c r="K28" s="292"/>
      <c r="L28" s="292"/>
      <c r="M28" s="292"/>
      <c r="P28" s="94"/>
    </row>
    <row r="29" spans="2:16" x14ac:dyDescent="0.25">
      <c r="B29" s="93"/>
      <c r="C29" s="294"/>
      <c r="D29" s="294"/>
      <c r="E29" s="294"/>
      <c r="F29" s="294"/>
      <c r="G29" s="294"/>
      <c r="H29" s="294"/>
      <c r="I29" s="142" t="s">
        <v>118</v>
      </c>
      <c r="J29" s="294" t="str">
        <f>IF(C24="Yes",TEXT(F13,"#,##0")&amp;" / 210","")</f>
        <v/>
      </c>
      <c r="K29" s="294"/>
      <c r="L29" s="294"/>
      <c r="M29" s="294"/>
      <c r="P29" s="94"/>
    </row>
    <row r="30" spans="2:16" x14ac:dyDescent="0.25">
      <c r="B30" s="93"/>
      <c r="C30" s="276"/>
      <c r="D30" s="276"/>
      <c r="E30" s="276"/>
      <c r="F30" s="276"/>
      <c r="G30" s="276"/>
      <c r="H30" s="276"/>
      <c r="I30" s="144" t="s">
        <v>118</v>
      </c>
      <c r="J30" s="286" t="str">
        <f>IF(C24="Yes",F13/210,"")</f>
        <v/>
      </c>
      <c r="K30" s="286"/>
      <c r="L30" s="286"/>
      <c r="M30" s="286"/>
      <c r="P30" s="94"/>
    </row>
    <row r="31" spans="2:16" x14ac:dyDescent="0.25">
      <c r="B31" s="93"/>
      <c r="P31" s="94"/>
    </row>
    <row r="32" spans="2:16" ht="16.8" x14ac:dyDescent="0.3">
      <c r="B32" s="90"/>
      <c r="C32" s="127" t="s">
        <v>260</v>
      </c>
      <c r="D32" s="91"/>
      <c r="E32" s="91"/>
      <c r="F32" s="91"/>
      <c r="G32" s="91"/>
      <c r="H32" s="91"/>
      <c r="I32" s="91"/>
      <c r="J32" s="91"/>
      <c r="K32" s="91"/>
      <c r="L32" s="91"/>
      <c r="M32" s="91"/>
      <c r="N32" s="91"/>
      <c r="O32" s="91"/>
      <c r="P32" s="92"/>
    </row>
    <row r="33" spans="2:16" x14ac:dyDescent="0.25">
      <c r="B33" s="93"/>
      <c r="P33" s="94"/>
    </row>
    <row r="34" spans="2:16" x14ac:dyDescent="0.25">
      <c r="B34" s="93"/>
      <c r="C34" s="119" t="s">
        <v>101</v>
      </c>
      <c r="P34" s="94"/>
    </row>
    <row r="35" spans="2:16" x14ac:dyDescent="0.25">
      <c r="B35" s="93"/>
      <c r="P35" s="94"/>
    </row>
    <row r="36" spans="2:16" x14ac:dyDescent="0.25">
      <c r="B36" s="93"/>
      <c r="C36" s="139" t="str">
        <f>IF(F15&gt;=150,"Yes","No")</f>
        <v>No</v>
      </c>
      <c r="D36" s="1" t="s">
        <v>103</v>
      </c>
      <c r="E36" s="276" t="str">
        <f>IF(C36="Yes","The development is expected to result in 150 or more secondary school age children", "The development is expected to result in less than 150 secondary school age children")</f>
        <v>The development is expected to result in less than 150 secondary school age children</v>
      </c>
      <c r="F36" s="276"/>
      <c r="G36" s="276"/>
      <c r="H36" s="276"/>
      <c r="I36" s="276"/>
      <c r="J36" s="276"/>
      <c r="K36" s="276"/>
      <c r="L36" s="276"/>
      <c r="P36" s="94"/>
    </row>
    <row r="37" spans="2:16" x14ac:dyDescent="0.25">
      <c r="B37" s="93"/>
      <c r="P37" s="94"/>
    </row>
    <row r="38" spans="2:16" x14ac:dyDescent="0.25">
      <c r="B38" s="93"/>
      <c r="C38" s="119" t="s">
        <v>226</v>
      </c>
      <c r="P38" s="94"/>
    </row>
    <row r="39" spans="2:16" x14ac:dyDescent="0.25">
      <c r="B39" s="93"/>
      <c r="P39" s="94"/>
    </row>
    <row r="40" spans="2:16" x14ac:dyDescent="0.25">
      <c r="B40" s="93"/>
      <c r="C40" s="292" t="s">
        <v>187</v>
      </c>
      <c r="D40" s="292"/>
      <c r="E40" s="292"/>
      <c r="F40" s="292"/>
      <c r="G40" s="292"/>
      <c r="H40" s="292"/>
      <c r="I40" s="141" t="s">
        <v>118</v>
      </c>
      <c r="J40" s="147" t="s">
        <v>258</v>
      </c>
      <c r="K40" s="147"/>
      <c r="L40" s="147"/>
      <c r="M40" s="147"/>
      <c r="P40" s="94"/>
    </row>
    <row r="41" spans="2:16" x14ac:dyDescent="0.25">
      <c r="B41" s="93"/>
      <c r="C41" s="294"/>
      <c r="D41" s="294"/>
      <c r="E41" s="294"/>
      <c r="F41" s="294"/>
      <c r="G41" s="294"/>
      <c r="H41" s="294"/>
      <c r="I41" s="142" t="s">
        <v>118</v>
      </c>
      <c r="J41" s="294" t="str">
        <f>IF(C36="Yes",TEXT(F15,"#,##0")&amp;" / 150","")</f>
        <v/>
      </c>
      <c r="K41" s="294"/>
      <c r="L41" s="294"/>
      <c r="M41" s="294"/>
      <c r="P41" s="94"/>
    </row>
    <row r="42" spans="2:16" x14ac:dyDescent="0.25">
      <c r="B42" s="93"/>
      <c r="C42" s="276"/>
      <c r="D42" s="276"/>
      <c r="E42" s="276"/>
      <c r="F42" s="276"/>
      <c r="G42" s="276"/>
      <c r="H42" s="276"/>
      <c r="I42" s="144" t="s">
        <v>118</v>
      </c>
      <c r="J42" s="286" t="str">
        <f>IF(C36="Yes",F15/150,"")</f>
        <v/>
      </c>
      <c r="K42" s="286"/>
      <c r="L42" s="286"/>
      <c r="M42" s="286"/>
      <c r="P42" s="94"/>
    </row>
    <row r="43" spans="2:16" x14ac:dyDescent="0.25">
      <c r="B43" s="93"/>
      <c r="P43" s="94"/>
    </row>
    <row r="44" spans="2:16" ht="16.8" x14ac:dyDescent="0.3">
      <c r="B44" s="90"/>
      <c r="C44" s="127" t="s">
        <v>375</v>
      </c>
      <c r="D44" s="91"/>
      <c r="E44" s="91"/>
      <c r="F44" s="91"/>
      <c r="G44" s="91"/>
      <c r="H44" s="91"/>
      <c r="I44" s="91"/>
      <c r="J44" s="91"/>
      <c r="K44" s="91"/>
      <c r="L44" s="91"/>
      <c r="M44" s="91"/>
      <c r="N44" s="91"/>
      <c r="O44" s="91"/>
      <c r="P44" s="92"/>
    </row>
    <row r="45" spans="2:16" x14ac:dyDescent="0.25">
      <c r="B45" s="93"/>
      <c r="P45" s="94"/>
    </row>
    <row r="46" spans="2:16" x14ac:dyDescent="0.25">
      <c r="B46" s="93"/>
      <c r="C46" t="s">
        <v>376</v>
      </c>
      <c r="G46" s="149" t="s">
        <v>377</v>
      </c>
      <c r="P46" s="94"/>
    </row>
    <row r="47" spans="2:16" x14ac:dyDescent="0.25">
      <c r="B47" s="93"/>
      <c r="C47" s="194"/>
      <c r="P47" s="94"/>
    </row>
    <row r="48" spans="2:16" ht="16.8" x14ac:dyDescent="0.3">
      <c r="B48" s="90"/>
      <c r="C48" s="127" t="s">
        <v>378</v>
      </c>
      <c r="D48" s="91"/>
      <c r="E48" s="91"/>
      <c r="F48" s="91"/>
      <c r="G48" s="91"/>
      <c r="H48" s="91"/>
      <c r="I48" s="91"/>
      <c r="J48" s="91"/>
      <c r="K48" s="91"/>
      <c r="L48" s="91"/>
      <c r="M48" s="91"/>
      <c r="N48" s="91"/>
      <c r="O48" s="91"/>
      <c r="P48" s="92"/>
    </row>
    <row r="49" spans="2:16" x14ac:dyDescent="0.25">
      <c r="B49" s="93"/>
      <c r="P49" s="94"/>
    </row>
    <row r="50" spans="2:16" x14ac:dyDescent="0.25">
      <c r="B50" s="93"/>
      <c r="C50" s="119" t="s">
        <v>101</v>
      </c>
      <c r="P50" s="94"/>
    </row>
    <row r="51" spans="2:16" x14ac:dyDescent="0.25">
      <c r="B51" s="93"/>
      <c r="P51" s="94"/>
    </row>
    <row r="52" spans="2:16" x14ac:dyDescent="0.25">
      <c r="B52" s="93"/>
      <c r="C52" s="139" t="str">
        <f>IF(G11&gt;=1000,"Yes","No")</f>
        <v>No</v>
      </c>
      <c r="D52" s="1" t="s">
        <v>103</v>
      </c>
      <c r="E52" s="139" t="str">
        <f>IF(C52="Yes","The development is expected to result in 1,000 or more residents","The development is expected to result in less than 1,000 residents")</f>
        <v>The development is expected to result in less than 1,000 residents</v>
      </c>
      <c r="F52" s="139"/>
      <c r="G52" s="139"/>
      <c r="H52" s="139"/>
      <c r="I52" s="139"/>
      <c r="J52" s="139"/>
      <c r="P52" s="94"/>
    </row>
    <row r="53" spans="2:16" x14ac:dyDescent="0.25">
      <c r="B53" s="93"/>
      <c r="P53" s="94"/>
    </row>
    <row r="54" spans="2:16" x14ac:dyDescent="0.25">
      <c r="B54" s="93"/>
      <c r="C54" s="126" t="s">
        <v>307</v>
      </c>
      <c r="D54" s="125"/>
      <c r="F54" s="69"/>
      <c r="P54" s="94"/>
    </row>
    <row r="55" spans="2:16" x14ac:dyDescent="0.25">
      <c r="B55" s="93"/>
      <c r="P55" s="94"/>
    </row>
    <row r="56" spans="2:16" x14ac:dyDescent="0.25">
      <c r="B56" s="93"/>
      <c r="C56" s="302" t="str">
        <f>IF(C52="Yes", "Required", "Not required")</f>
        <v>Not required</v>
      </c>
      <c r="D56" s="302"/>
      <c r="P56" s="94"/>
    </row>
    <row r="57" spans="2:16" x14ac:dyDescent="0.25">
      <c r="B57" s="93"/>
      <c r="P57" s="94"/>
    </row>
    <row r="58" spans="2:16" ht="16.8" x14ac:dyDescent="0.3">
      <c r="B58" s="90"/>
      <c r="C58" s="127" t="s">
        <v>379</v>
      </c>
      <c r="D58" s="91"/>
      <c r="E58" s="91"/>
      <c r="F58" s="91"/>
      <c r="G58" s="91"/>
      <c r="H58" s="91"/>
      <c r="I58" s="91"/>
      <c r="J58" s="91"/>
      <c r="K58" s="91"/>
      <c r="L58" s="91"/>
      <c r="M58" s="91"/>
      <c r="N58" s="91"/>
      <c r="O58" s="91"/>
      <c r="P58" s="92"/>
    </row>
    <row r="59" spans="2:16" x14ac:dyDescent="0.25">
      <c r="B59" s="93"/>
      <c r="P59" s="94"/>
    </row>
    <row r="60" spans="2:16" x14ac:dyDescent="0.25">
      <c r="B60" s="93"/>
      <c r="C60" s="119" t="s">
        <v>101</v>
      </c>
      <c r="P60" s="94"/>
    </row>
    <row r="61" spans="2:16" x14ac:dyDescent="0.25">
      <c r="B61" s="93"/>
      <c r="P61" s="94"/>
    </row>
    <row r="62" spans="2:16" x14ac:dyDescent="0.25">
      <c r="B62" s="93"/>
      <c r="C62" s="139" t="str">
        <f>IF(OR('Development Details'!M36&gt;=150,'Development Details'!E20&gt;=30),"Yes","No")</f>
        <v>No</v>
      </c>
      <c r="D62" s="1" t="s">
        <v>103</v>
      </c>
      <c r="E62" s="139" t="str">
        <f>IF(C62="Yes","The development has 150 or more dwellings or is 30m or more in height","The development has less than 150 dwellings and is less than 30m in height")</f>
        <v>The development has less than 150 dwellings and is less than 30m in height</v>
      </c>
      <c r="F62" s="139"/>
      <c r="G62" s="139"/>
      <c r="H62" s="139"/>
      <c r="I62" s="139"/>
      <c r="J62" s="139"/>
      <c r="K62" s="139"/>
      <c r="P62" s="94"/>
    </row>
    <row r="63" spans="2:16" x14ac:dyDescent="0.25">
      <c r="B63" s="93"/>
      <c r="P63" s="94"/>
    </row>
    <row r="64" spans="2:16" x14ac:dyDescent="0.25">
      <c r="B64" s="93"/>
      <c r="C64" s="126" t="s">
        <v>382</v>
      </c>
      <c r="D64" s="125"/>
      <c r="F64" s="69"/>
      <c r="P64" s="94"/>
    </row>
    <row r="65" spans="2:16" x14ac:dyDescent="0.25">
      <c r="B65" s="93"/>
      <c r="P65" s="94"/>
    </row>
    <row r="66" spans="2:16" x14ac:dyDescent="0.25">
      <c r="B66" s="93"/>
      <c r="C66" s="302" t="str">
        <f>IF(C62="Yes", "Required", "Not required")</f>
        <v>Not required</v>
      </c>
      <c r="D66" s="302"/>
      <c r="P66" s="94"/>
    </row>
    <row r="67" spans="2:16" x14ac:dyDescent="0.25">
      <c r="B67" s="93"/>
      <c r="P67" s="94"/>
    </row>
    <row r="68" spans="2:16" ht="16.8" x14ac:dyDescent="0.3">
      <c r="B68" s="90"/>
      <c r="C68" s="127" t="s">
        <v>383</v>
      </c>
      <c r="D68" s="91"/>
      <c r="E68" s="91"/>
      <c r="F68" s="91"/>
      <c r="G68" s="91"/>
      <c r="H68" s="91"/>
      <c r="I68" s="91"/>
      <c r="J68" s="91"/>
      <c r="K68" s="91"/>
      <c r="L68" s="91"/>
      <c r="M68" s="91"/>
      <c r="N68" s="91"/>
      <c r="O68" s="91"/>
      <c r="P68" s="92"/>
    </row>
    <row r="69" spans="2:16" x14ac:dyDescent="0.25">
      <c r="B69" s="93"/>
      <c r="P69" s="94"/>
    </row>
    <row r="70" spans="2:16" x14ac:dyDescent="0.25">
      <c r="B70" s="93"/>
      <c r="C70" s="119" t="s">
        <v>101</v>
      </c>
      <c r="P70" s="94"/>
    </row>
    <row r="71" spans="2:16" x14ac:dyDescent="0.25">
      <c r="B71" s="93"/>
      <c r="P71" s="94"/>
    </row>
    <row r="72" spans="2:16" x14ac:dyDescent="0.25">
      <c r="B72" s="93"/>
      <c r="C72" s="139" t="str">
        <f>IF(OR('Development Details'!H14="Yes",'Development Details'!E63&gt;0),"Yes","No")</f>
        <v>No</v>
      </c>
      <c r="D72" t="s">
        <v>103</v>
      </c>
      <c r="E72" s="139" t="str">
        <f>IF(C72="Yes","Extra care or supported housing or C2 use is proposed","No extra care or supported housing or C2 use is proposed")</f>
        <v>No extra care or supported housing or C2 use is proposed</v>
      </c>
      <c r="F72" s="139"/>
      <c r="G72" s="139"/>
      <c r="H72" s="139"/>
      <c r="I72" s="139"/>
      <c r="J72" s="139"/>
      <c r="P72" s="94"/>
    </row>
    <row r="73" spans="2:16" x14ac:dyDescent="0.25">
      <c r="B73" s="93"/>
      <c r="P73" s="94"/>
    </row>
    <row r="74" spans="2:16" x14ac:dyDescent="0.25">
      <c r="B74" s="93"/>
      <c r="C74" s="119" t="s">
        <v>385</v>
      </c>
      <c r="P74" s="94"/>
    </row>
    <row r="75" spans="2:16" x14ac:dyDescent="0.25">
      <c r="B75" s="93"/>
      <c r="P75" s="94"/>
    </row>
    <row r="76" spans="2:16" x14ac:dyDescent="0.25">
      <c r="B76" s="93"/>
      <c r="C76" s="302" t="str">
        <f>IF(C72="Yes", "Required", "Not required")</f>
        <v>Not required</v>
      </c>
      <c r="D76" s="302"/>
      <c r="P76" s="94"/>
    </row>
    <row r="77" spans="2:16" x14ac:dyDescent="0.25">
      <c r="B77" s="101"/>
      <c r="C77" s="102"/>
      <c r="D77" s="102"/>
      <c r="E77" s="102"/>
      <c r="F77" s="102"/>
      <c r="G77" s="102"/>
      <c r="H77" s="102"/>
      <c r="I77" s="102"/>
      <c r="J77" s="102"/>
      <c r="K77" s="102"/>
      <c r="L77" s="102"/>
      <c r="M77" s="102"/>
      <c r="N77" s="102"/>
      <c r="O77" s="102"/>
      <c r="P77" s="103"/>
    </row>
    <row r="79" spans="2:16" x14ac:dyDescent="0.25">
      <c r="C79" s="63" t="s">
        <v>213</v>
      </c>
    </row>
  </sheetData>
  <sheetProtection algorithmName="SHA-512" hashValue="16ZpPSfY1i7Fv1rzze0uyduOSYVMN8Lr7qjW5ZVxqd1kegjyV6PJykjAyFXqxHcVBkD6TfJqnosmaJfNNjAFDg==" saltValue="lZkBTvIRdfo+gdw1KtM+pA==" spinCount="100000" sheet="1" selectLockedCells="1"/>
  <mergeCells count="26">
    <mergeCell ref="C17:L18"/>
    <mergeCell ref="C56:D56"/>
    <mergeCell ref="C66:D66"/>
    <mergeCell ref="C76:D76"/>
    <mergeCell ref="G11:H11"/>
    <mergeCell ref="C40:H40"/>
    <mergeCell ref="C41:H41"/>
    <mergeCell ref="C42:H42"/>
    <mergeCell ref="J41:M41"/>
    <mergeCell ref="J42:M42"/>
    <mergeCell ref="G7:H8"/>
    <mergeCell ref="C7:F8"/>
    <mergeCell ref="G9:H9"/>
    <mergeCell ref="G10:H10"/>
    <mergeCell ref="E36:L36"/>
    <mergeCell ref="I10:O10"/>
    <mergeCell ref="G13:K13"/>
    <mergeCell ref="L13:M15"/>
    <mergeCell ref="E24:L24"/>
    <mergeCell ref="C28:H28"/>
    <mergeCell ref="C29:H29"/>
    <mergeCell ref="C30:H30"/>
    <mergeCell ref="J28:M28"/>
    <mergeCell ref="J29:M29"/>
    <mergeCell ref="J30:M30"/>
    <mergeCell ref="G15:K15"/>
  </mergeCells>
  <conditionalFormatting sqref="C24">
    <cfRule type="expression" dxfId="27" priority="18">
      <formula>$C$24="Yes"</formula>
    </cfRule>
  </conditionalFormatting>
  <conditionalFormatting sqref="C30 I30:M30">
    <cfRule type="expression" priority="16" stopIfTrue="1">
      <formula>$C$24="No"</formula>
    </cfRule>
    <cfRule type="expression" dxfId="26" priority="17">
      <formula>$J$30&gt;0</formula>
    </cfRule>
  </conditionalFormatting>
  <conditionalFormatting sqref="C36">
    <cfRule type="expression" dxfId="25" priority="15">
      <formula>$C$36="Yes"</formula>
    </cfRule>
  </conditionalFormatting>
  <conditionalFormatting sqref="C42 I42:J42">
    <cfRule type="expression" priority="13" stopIfTrue="1">
      <formula>$C$36="No"</formula>
    </cfRule>
    <cfRule type="expression" dxfId="24" priority="14">
      <formula>$J$42&gt;0</formula>
    </cfRule>
  </conditionalFormatting>
  <conditionalFormatting sqref="C52">
    <cfRule type="expression" dxfId="23" priority="9">
      <formula>$C$52="Yes"</formula>
    </cfRule>
  </conditionalFormatting>
  <conditionalFormatting sqref="C56">
    <cfRule type="expression" priority="7" stopIfTrue="1">
      <formula>$C$52="No"</formula>
    </cfRule>
    <cfRule type="expression" dxfId="22" priority="8">
      <formula>C52="Yes"</formula>
    </cfRule>
  </conditionalFormatting>
  <conditionalFormatting sqref="C62">
    <cfRule type="expression" dxfId="21" priority="6">
      <formula>$C$62="Yes"</formula>
    </cfRule>
  </conditionalFormatting>
  <conditionalFormatting sqref="C66">
    <cfRule type="expression" priority="4" stopIfTrue="1">
      <formula>$C$62="No"</formula>
    </cfRule>
    <cfRule type="expression" dxfId="20" priority="5">
      <formula>C62="Yes"</formula>
    </cfRule>
  </conditionalFormatting>
  <conditionalFormatting sqref="C76">
    <cfRule type="expression" priority="2" stopIfTrue="1">
      <formula>$C$72="No"</formula>
    </cfRule>
    <cfRule type="expression" dxfId="19" priority="3">
      <formula>C72="Yes"</formula>
    </cfRule>
  </conditionalFormatting>
  <conditionalFormatting sqref="C72">
    <cfRule type="expression" dxfId="18" priority="1">
      <formula>$C$72="Yes"</formula>
    </cfRule>
  </conditionalFormatting>
  <hyperlinks>
    <hyperlink ref="L13:M15" r:id="rId1" display="Calculated using the Council's Population Yield Calculator" xr:uid="{00000000-0004-0000-0900-000000000000}"/>
    <hyperlink ref="I10:O10" r:id="rId2" display="Calculated using the Council's Population Yield Calculator" xr:uid="{62594604-54B2-48C0-8DB5-D0A115B9D6ED}"/>
  </hyperlinks>
  <pageMargins left="0.39370078740157483" right="0.39370078740157483" top="0.39370078740157483" bottom="0.39370078740157483" header="0.19685039370078741" footer="0.19685039370078741"/>
  <pageSetup paperSize="9" orientation="landscape" r:id="rId3"/>
  <headerFooter>
    <oddHeader>&amp;L&amp;"Calibri"&amp;10&amp;K000000Official&amp;1#_x000D_&amp;"Calibri"&amp;11&amp;K000000&amp;9&amp;F</oddHeader>
    <oddFooter>&amp;R&amp;9Page &amp;P of &amp;N</oddFooter>
  </headerFooter>
  <rowBreaks count="1" manualBreakCount="1">
    <brk id="39"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B2:P47"/>
  <sheetViews>
    <sheetView workbookViewId="0">
      <selection activeCell="F20" sqref="F20:G31"/>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386</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P5" s="94"/>
    </row>
    <row r="6" spans="2:16" x14ac:dyDescent="0.25">
      <c r="B6" s="93"/>
      <c r="P6" s="94"/>
    </row>
    <row r="7" spans="2:16" x14ac:dyDescent="0.25">
      <c r="B7" s="93"/>
      <c r="C7" s="296" t="str">
        <f>IF(ISBLANK('Development Details'!H18),Inputs_still_required,IF(OR('Development Details'!M36&gt;=100,'Development Details'!E71&gt;=10000,'Development Details'!H18="Yes"),"Yes", "No"))</f>
        <v>Inputs still required</v>
      </c>
      <c r="D7" s="304" t="s">
        <v>103</v>
      </c>
      <c r="E7" s="293" t="str">
        <f>IF(C7=Inputs_still_required,"",IF(C7="Yes", "100 or more dwellings, or 10,000m² or more of floorspace is proposed, or there is a reduction in protected open space", "Less than 100 dwellings and less than 10,000m² of floorspace are proposed, and there is no reduction of protected open space"))</f>
        <v/>
      </c>
      <c r="F7" s="293"/>
      <c r="G7" s="293"/>
      <c r="H7" s="293"/>
      <c r="I7" s="293"/>
      <c r="J7" s="293"/>
      <c r="P7" s="94"/>
    </row>
    <row r="8" spans="2:16" x14ac:dyDescent="0.25">
      <c r="B8" s="93"/>
      <c r="C8" s="296"/>
      <c r="D8" s="304"/>
      <c r="E8" s="293"/>
      <c r="F8" s="293"/>
      <c r="G8" s="293"/>
      <c r="H8" s="293"/>
      <c r="I8" s="293"/>
      <c r="J8" s="293"/>
      <c r="P8" s="94"/>
    </row>
    <row r="9" spans="2:16" x14ac:dyDescent="0.25">
      <c r="B9" s="93"/>
      <c r="P9" s="94"/>
    </row>
    <row r="10" spans="2:16" ht="16.8" x14ac:dyDescent="0.3">
      <c r="B10" s="93"/>
      <c r="C10" s="3" t="s">
        <v>122</v>
      </c>
      <c r="P10" s="94"/>
    </row>
    <row r="11" spans="2:16" x14ac:dyDescent="0.25">
      <c r="B11" s="93"/>
      <c r="P11" s="94"/>
    </row>
    <row r="12" spans="2:16" x14ac:dyDescent="0.25">
      <c r="B12" s="93"/>
      <c r="C12" s="276" t="str">
        <f>IF(C7="Yes", "New public open space, public realm improvements, or commuted sum required", "")</f>
        <v/>
      </c>
      <c r="D12" s="276"/>
      <c r="E12" s="276"/>
      <c r="F12" s="276"/>
      <c r="G12" s="276"/>
      <c r="H12" s="276"/>
      <c r="I12" s="276"/>
      <c r="J12" s="276"/>
      <c r="P12" s="94"/>
    </row>
    <row r="13" spans="2:16" x14ac:dyDescent="0.25">
      <c r="B13" s="93"/>
      <c r="P13" s="94"/>
    </row>
    <row r="14" spans="2:16" ht="16.8" x14ac:dyDescent="0.3">
      <c r="B14" s="93"/>
      <c r="C14" s="3" t="s">
        <v>326</v>
      </c>
      <c r="P14" s="94"/>
    </row>
    <row r="15" spans="2:16" x14ac:dyDescent="0.25">
      <c r="B15" s="93"/>
      <c r="P15" s="94"/>
    </row>
    <row r="16" spans="2:16" x14ac:dyDescent="0.25">
      <c r="B16" s="93"/>
      <c r="C16" t="s">
        <v>337</v>
      </c>
      <c r="P16" s="94"/>
    </row>
    <row r="17" spans="2:16" x14ac:dyDescent="0.25">
      <c r="B17" s="93"/>
      <c r="P17" s="94"/>
    </row>
    <row r="18" spans="2:16" x14ac:dyDescent="0.25">
      <c r="B18" s="93"/>
      <c r="C18" s="119" t="s">
        <v>338</v>
      </c>
      <c r="P18" s="94"/>
    </row>
    <row r="19" spans="2:16" ht="13.8" thickBot="1" x14ac:dyDescent="0.3">
      <c r="B19" s="93"/>
      <c r="P19" s="94"/>
    </row>
    <row r="20" spans="2:16" ht="12.75" customHeight="1" thickBot="1" x14ac:dyDescent="0.3">
      <c r="B20" s="93"/>
      <c r="C20" s="169" t="s">
        <v>131</v>
      </c>
      <c r="D20" s="167" t="s">
        <v>340</v>
      </c>
      <c r="F20" s="303" t="s">
        <v>341</v>
      </c>
      <c r="G20" s="303"/>
      <c r="P20" s="94"/>
    </row>
    <row r="21" spans="2:16" ht="12.75" customHeight="1" x14ac:dyDescent="0.25">
      <c r="B21" s="93"/>
      <c r="C21" s="85" t="s">
        <v>327</v>
      </c>
      <c r="D21" s="170">
        <f>'Population Yield'!L7</f>
        <v>0</v>
      </c>
      <c r="F21" s="303"/>
      <c r="G21" s="303"/>
      <c r="P21" s="94"/>
    </row>
    <row r="22" spans="2:16" x14ac:dyDescent="0.25">
      <c r="B22" s="93"/>
      <c r="C22" s="162" t="s">
        <v>328</v>
      </c>
      <c r="D22" s="171">
        <f>'Population Yield'!L8</f>
        <v>0</v>
      </c>
      <c r="F22" s="303"/>
      <c r="G22" s="303"/>
      <c r="P22" s="94"/>
    </row>
    <row r="23" spans="2:16" x14ac:dyDescent="0.25">
      <c r="B23" s="93"/>
      <c r="C23" s="162" t="s">
        <v>329</v>
      </c>
      <c r="D23" s="171">
        <f>'Population Yield'!L9</f>
        <v>0</v>
      </c>
      <c r="F23" s="303"/>
      <c r="G23" s="303"/>
      <c r="P23" s="94"/>
    </row>
    <row r="24" spans="2:16" x14ac:dyDescent="0.25">
      <c r="B24" s="93"/>
      <c r="C24" s="162" t="s">
        <v>330</v>
      </c>
      <c r="D24" s="171">
        <f>'Population Yield'!L10</f>
        <v>0</v>
      </c>
      <c r="F24" s="303"/>
      <c r="G24" s="303"/>
      <c r="P24" s="94"/>
    </row>
    <row r="25" spans="2:16" x14ac:dyDescent="0.25">
      <c r="B25" s="93"/>
      <c r="C25" s="162" t="s">
        <v>331</v>
      </c>
      <c r="D25" s="171">
        <f>'Population Yield'!L11</f>
        <v>0</v>
      </c>
      <c r="F25" s="303"/>
      <c r="G25" s="303"/>
      <c r="P25" s="94"/>
    </row>
    <row r="26" spans="2:16" x14ac:dyDescent="0.25">
      <c r="B26" s="93"/>
      <c r="C26" s="162" t="s">
        <v>332</v>
      </c>
      <c r="D26" s="171">
        <f>'Population Yield'!L12</f>
        <v>0</v>
      </c>
      <c r="F26" s="303"/>
      <c r="G26" s="303"/>
      <c r="P26" s="94"/>
    </row>
    <row r="27" spans="2:16" x14ac:dyDescent="0.25">
      <c r="B27" s="93"/>
      <c r="C27" s="162" t="s">
        <v>333</v>
      </c>
      <c r="D27" s="171">
        <f>'Population Yield'!L13</f>
        <v>0</v>
      </c>
      <c r="F27" s="303"/>
      <c r="G27" s="303"/>
      <c r="P27" s="94"/>
    </row>
    <row r="28" spans="2:16" x14ac:dyDescent="0.25">
      <c r="B28" s="93"/>
      <c r="C28" s="162" t="s">
        <v>334</v>
      </c>
      <c r="D28" s="171">
        <f>'Population Yield'!L14</f>
        <v>0</v>
      </c>
      <c r="F28" s="303"/>
      <c r="G28" s="303"/>
      <c r="P28" s="94"/>
    </row>
    <row r="29" spans="2:16" x14ac:dyDescent="0.25">
      <c r="B29" s="93"/>
      <c r="C29" s="162" t="s">
        <v>335</v>
      </c>
      <c r="D29" s="171">
        <f>'Population Yield'!L15</f>
        <v>0</v>
      </c>
      <c r="F29" s="303"/>
      <c r="G29" s="303"/>
      <c r="P29" s="94"/>
    </row>
    <row r="30" spans="2:16" ht="13.8" thickBot="1" x14ac:dyDescent="0.3">
      <c r="B30" s="93"/>
      <c r="C30" s="58" t="s">
        <v>145</v>
      </c>
      <c r="D30" s="172">
        <f>'Population Yield'!L16</f>
        <v>0</v>
      </c>
      <c r="F30" s="303"/>
      <c r="G30" s="303"/>
      <c r="P30" s="94"/>
    </row>
    <row r="31" spans="2:16" ht="13.8" thickBot="1" x14ac:dyDescent="0.3">
      <c r="B31" s="93"/>
      <c r="C31" s="164" t="s">
        <v>26</v>
      </c>
      <c r="D31" s="173">
        <f>'Population Yield'!L17</f>
        <v>0</v>
      </c>
      <c r="F31" s="303"/>
      <c r="G31" s="303"/>
      <c r="P31" s="94"/>
    </row>
    <row r="32" spans="2:16" x14ac:dyDescent="0.25">
      <c r="B32" s="93"/>
      <c r="P32" s="94"/>
    </row>
    <row r="33" spans="2:16" x14ac:dyDescent="0.25">
      <c r="B33" s="93"/>
      <c r="C33" s="119" t="s">
        <v>339</v>
      </c>
      <c r="P33" s="94"/>
    </row>
    <row r="34" spans="2:16" ht="13.8" thickBot="1" x14ac:dyDescent="0.3">
      <c r="B34" s="93"/>
      <c r="P34" s="94"/>
    </row>
    <row r="35" spans="2:16" ht="13.5" customHeight="1" thickBot="1" x14ac:dyDescent="0.3">
      <c r="B35" s="93"/>
      <c r="C35" s="168" t="s">
        <v>131</v>
      </c>
      <c r="D35" s="167" t="s">
        <v>340</v>
      </c>
      <c r="F35" s="300" t="s">
        <v>341</v>
      </c>
      <c r="G35" s="300"/>
      <c r="P35" s="94"/>
    </row>
    <row r="36" spans="2:16" x14ac:dyDescent="0.25">
      <c r="B36" s="93"/>
      <c r="C36" s="85" t="s">
        <v>336</v>
      </c>
      <c r="D36" s="165">
        <f>'Population Yield'!L22</f>
        <v>0</v>
      </c>
      <c r="F36" s="300"/>
      <c r="G36" s="300"/>
      <c r="P36" s="94"/>
    </row>
    <row r="37" spans="2:16" x14ac:dyDescent="0.25">
      <c r="B37" s="93"/>
      <c r="C37" s="162" t="s">
        <v>329</v>
      </c>
      <c r="D37" s="174">
        <f>'Population Yield'!L23</f>
        <v>0</v>
      </c>
      <c r="F37" s="300"/>
      <c r="G37" s="300"/>
      <c r="P37" s="94"/>
    </row>
    <row r="38" spans="2:16" ht="13.8" thickBot="1" x14ac:dyDescent="0.3">
      <c r="B38" s="93"/>
      <c r="C38" s="166" t="s">
        <v>330</v>
      </c>
      <c r="D38" s="175">
        <f>'Population Yield'!L24</f>
        <v>0</v>
      </c>
      <c r="F38" s="300"/>
      <c r="G38" s="300"/>
      <c r="P38" s="94"/>
    </row>
    <row r="39" spans="2:16" ht="13.8" thickBot="1" x14ac:dyDescent="0.3">
      <c r="B39" s="93"/>
      <c r="C39" s="164" t="s">
        <v>26</v>
      </c>
      <c r="D39" s="176">
        <f>'Population Yield'!L25</f>
        <v>0</v>
      </c>
      <c r="F39" s="300"/>
      <c r="G39" s="300"/>
      <c r="P39" s="94"/>
    </row>
    <row r="40" spans="2:16" x14ac:dyDescent="0.25">
      <c r="B40" s="101"/>
      <c r="C40" s="102"/>
      <c r="D40" s="102"/>
      <c r="E40" s="102"/>
      <c r="F40" s="102"/>
      <c r="G40" s="102"/>
      <c r="H40" s="102"/>
      <c r="I40" s="102"/>
      <c r="J40" s="102"/>
      <c r="K40" s="102"/>
      <c r="L40" s="102"/>
      <c r="M40" s="102"/>
      <c r="N40" s="102"/>
      <c r="O40" s="102"/>
      <c r="P40" s="103"/>
    </row>
    <row r="42" spans="2:16" x14ac:dyDescent="0.25">
      <c r="C42" s="63" t="s">
        <v>213</v>
      </c>
    </row>
    <row r="47" spans="2:16" x14ac:dyDescent="0.25">
      <c r="C47" s="194"/>
    </row>
  </sheetData>
  <sheetProtection algorithmName="SHA-512" hashValue="Ruptd6ZYqOKrbCMhpuEp4EyT0Pwfod4LsPvx2DMCqQ+0+QbqNfD5M+MP2Z4/pTjs8ZkB4+QCh/bwJBv6AN4ztQ==" saltValue="dZMUlVZzxGLZ+xoukwhLJA==" spinCount="100000" sheet="1" selectLockedCells="1"/>
  <mergeCells count="6">
    <mergeCell ref="F20:G31"/>
    <mergeCell ref="F35:G39"/>
    <mergeCell ref="C12:J12"/>
    <mergeCell ref="E7:J8"/>
    <mergeCell ref="C7:C8"/>
    <mergeCell ref="D7:D8"/>
  </mergeCells>
  <conditionalFormatting sqref="C7">
    <cfRule type="expression" dxfId="17" priority="2">
      <formula>$C$7="Yes"</formula>
    </cfRule>
  </conditionalFormatting>
  <conditionalFormatting sqref="C12">
    <cfRule type="expression" dxfId="16" priority="1">
      <formula>$C$7="Yes"</formula>
    </cfRule>
  </conditionalFormatting>
  <hyperlinks>
    <hyperlink ref="F35" r:id="rId1" xr:uid="{00000000-0004-0000-0A00-000000000000}"/>
    <hyperlink ref="F20" r:id="rId2" xr:uid="{00000000-0004-0000-0A00-000001000000}"/>
    <hyperlink ref="F20:G31" r:id="rId3" display="As expected over time, calculated using the Council's population yield calculator" xr:uid="{633DC251-D510-4580-BAB8-6968819E0E6C}"/>
    <hyperlink ref="F35:G39" r:id="rId4" display="As expected over time, calculated using the Council's population yield calculator" xr:uid="{F34C2AE9-D7BB-4EB6-9DFD-3B6931C9946F}"/>
  </hyperlinks>
  <pageMargins left="0.39370078740157483" right="0.39370078740157483" top="0.39370078740157483" bottom="0.39370078740157483" header="0.19685039370078741" footer="0.19685039370078741"/>
  <pageSetup paperSize="9" scale="96" orientation="landscape" r:id="rId5"/>
  <headerFooter>
    <oddHeader>&amp;L&amp;"Calibri"&amp;10&amp;K000000Official&amp;1#_x000D_&amp;"Calibri"&amp;11&amp;K000000&amp;9&amp;F</oddHeader>
    <oddFooter>&amp;R&amp;9Page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B2:P47"/>
  <sheetViews>
    <sheetView workbookViewId="0">
      <selection activeCell="E13" sqref="E13"/>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387</v>
      </c>
      <c r="D3" s="96"/>
      <c r="E3" s="96"/>
      <c r="F3" s="96"/>
      <c r="G3" s="96"/>
      <c r="H3" s="96"/>
      <c r="I3" s="96"/>
      <c r="J3" s="96"/>
      <c r="K3" s="96"/>
      <c r="L3" s="96"/>
      <c r="M3" s="96"/>
      <c r="N3" s="96"/>
      <c r="O3" s="96"/>
      <c r="P3" s="97"/>
    </row>
    <row r="4" spans="2:16" ht="13.8" thickTop="1" x14ac:dyDescent="0.25">
      <c r="B4" s="93"/>
      <c r="P4" s="94"/>
    </row>
    <row r="5" spans="2:16" ht="16.8" x14ac:dyDescent="0.3">
      <c r="B5" s="93"/>
      <c r="C5" s="3" t="s">
        <v>388</v>
      </c>
      <c r="P5" s="94"/>
    </row>
    <row r="6" spans="2:16" x14ac:dyDescent="0.25">
      <c r="B6" s="93"/>
      <c r="P6" s="94"/>
    </row>
    <row r="7" spans="2:16" x14ac:dyDescent="0.25">
      <c r="B7" s="93"/>
      <c r="C7" s="119" t="s">
        <v>101</v>
      </c>
      <c r="P7" s="94"/>
    </row>
    <row r="8" spans="2:16" x14ac:dyDescent="0.25">
      <c r="B8" s="93"/>
      <c r="P8" s="94"/>
    </row>
    <row r="9" spans="2:16" x14ac:dyDescent="0.25">
      <c r="B9" s="93"/>
      <c r="C9" s="139" t="str">
        <f>IF('Development Details'!M36&gt;=10,"Yes","No")</f>
        <v>No</v>
      </c>
      <c r="D9" s="1" t="s">
        <v>103</v>
      </c>
      <c r="E9" s="276" t="str">
        <f>IF(C9="Yes", "The development provides 10 or more dwellings", "The development provides less than 10 dwellings")</f>
        <v>The development provides less than 10 dwellings</v>
      </c>
      <c r="F9" s="276"/>
      <c r="G9" s="276"/>
      <c r="H9" s="276"/>
      <c r="I9" s="276"/>
      <c r="P9" s="94"/>
    </row>
    <row r="10" spans="2:16" x14ac:dyDescent="0.25">
      <c r="B10" s="93"/>
      <c r="P10" s="94"/>
    </row>
    <row r="11" spans="2:16" x14ac:dyDescent="0.25">
      <c r="B11" s="93"/>
      <c r="C11" s="119" t="s">
        <v>230</v>
      </c>
      <c r="P11" s="94"/>
    </row>
    <row r="12" spans="2:16" x14ac:dyDescent="0.25">
      <c r="B12" s="93"/>
      <c r="P12" s="94"/>
    </row>
    <row r="13" spans="2:16" x14ac:dyDescent="0.25">
      <c r="B13" s="93"/>
      <c r="C13" t="s">
        <v>228</v>
      </c>
      <c r="E13" s="151">
        <v>0</v>
      </c>
      <c r="F13" t="s">
        <v>229</v>
      </c>
      <c r="P13" s="94"/>
    </row>
    <row r="14" spans="2:16" x14ac:dyDescent="0.25">
      <c r="B14" s="93"/>
      <c r="P14" s="94"/>
    </row>
    <row r="15" spans="2:16" x14ac:dyDescent="0.25">
      <c r="B15" s="93"/>
      <c r="C15" s="292" t="s">
        <v>227</v>
      </c>
      <c r="D15" s="292"/>
      <c r="E15" s="147" t="s">
        <v>118</v>
      </c>
      <c r="F15" s="292" t="s">
        <v>439</v>
      </c>
      <c r="G15" s="292"/>
      <c r="H15" s="292"/>
      <c r="I15" s="292"/>
      <c r="J15" s="292"/>
      <c r="K15" s="292"/>
      <c r="L15" s="292"/>
      <c r="M15" s="292"/>
      <c r="P15" s="94"/>
    </row>
    <row r="16" spans="2:16" x14ac:dyDescent="0.25">
      <c r="B16" s="93"/>
      <c r="C16" s="294"/>
      <c r="D16" s="294"/>
      <c r="E16" s="148" t="s">
        <v>118</v>
      </c>
      <c r="F16" s="294" t="str">
        <f>IF(C9="No","",TEXT(E13,"#,##0.00")&amp;" tonnes of carbon dioxide per year × £95 × 30 years")</f>
        <v/>
      </c>
      <c r="G16" s="294"/>
      <c r="H16" s="294"/>
      <c r="I16" s="294"/>
      <c r="J16" s="294"/>
      <c r="K16" s="294"/>
      <c r="L16" s="294"/>
      <c r="M16" s="294"/>
      <c r="P16" s="94"/>
    </row>
    <row r="17" spans="2:16" x14ac:dyDescent="0.25">
      <c r="B17" s="93"/>
      <c r="C17" s="276"/>
      <c r="D17" s="276"/>
      <c r="E17" s="139" t="s">
        <v>118</v>
      </c>
      <c r="F17" s="291" t="str">
        <f>IF(F16="","",E13*95*30)</f>
        <v/>
      </c>
      <c r="G17" s="291"/>
      <c r="H17" s="291"/>
      <c r="I17" s="291"/>
      <c r="J17" s="291"/>
      <c r="K17" s="291"/>
      <c r="L17" s="291"/>
      <c r="M17" s="291"/>
      <c r="P17" s="94"/>
    </row>
    <row r="18" spans="2:16" x14ac:dyDescent="0.25">
      <c r="B18" s="93"/>
      <c r="P18" s="94"/>
    </row>
    <row r="19" spans="2:16" ht="16.8" x14ac:dyDescent="0.3">
      <c r="B19" s="90"/>
      <c r="C19" s="127" t="s">
        <v>390</v>
      </c>
      <c r="D19" s="91"/>
      <c r="E19" s="91"/>
      <c r="F19" s="91"/>
      <c r="G19" s="91"/>
      <c r="H19" s="91"/>
      <c r="I19" s="91"/>
      <c r="J19" s="91"/>
      <c r="K19" s="91"/>
      <c r="L19" s="91"/>
      <c r="M19" s="91"/>
      <c r="N19" s="91"/>
      <c r="O19" s="91"/>
      <c r="P19" s="92"/>
    </row>
    <row r="20" spans="2:16" x14ac:dyDescent="0.25">
      <c r="B20" s="93"/>
      <c r="P20" s="94"/>
    </row>
    <row r="21" spans="2:16" x14ac:dyDescent="0.25">
      <c r="B21" s="93"/>
      <c r="C21" t="s">
        <v>392</v>
      </c>
      <c r="K21" s="152"/>
      <c r="P21" s="94"/>
    </row>
    <row r="22" spans="2:16" x14ac:dyDescent="0.25">
      <c r="B22" s="93"/>
      <c r="P22" s="94"/>
    </row>
    <row r="23" spans="2:16" x14ac:dyDescent="0.25">
      <c r="B23" s="93"/>
      <c r="C23" s="276" t="str">
        <f>IF(K21="No", "",IF(ISBLANK(K21),Inputs_still_required, "Planning obligation or financial contribution required"))</f>
        <v>Inputs still required</v>
      </c>
      <c r="D23" s="276"/>
      <c r="E23" s="276"/>
      <c r="F23" s="276"/>
      <c r="G23" s="276"/>
      <c r="P23" s="94"/>
    </row>
    <row r="24" spans="2:16" x14ac:dyDescent="0.25">
      <c r="B24" s="93"/>
      <c r="P24" s="94"/>
    </row>
    <row r="25" spans="2:16" ht="16.8" x14ac:dyDescent="0.3">
      <c r="B25" s="90"/>
      <c r="C25" s="127" t="s">
        <v>393</v>
      </c>
      <c r="D25" s="91"/>
      <c r="E25" s="91"/>
      <c r="F25" s="91"/>
      <c r="G25" s="91"/>
      <c r="H25" s="91"/>
      <c r="I25" s="91"/>
      <c r="J25" s="91"/>
      <c r="K25" s="91"/>
      <c r="L25" s="91"/>
      <c r="M25" s="91"/>
      <c r="N25" s="91"/>
      <c r="O25" s="91"/>
      <c r="P25" s="92"/>
    </row>
    <row r="26" spans="2:16" x14ac:dyDescent="0.25">
      <c r="B26" s="93"/>
      <c r="P26" s="94"/>
    </row>
    <row r="27" spans="2:16" x14ac:dyDescent="0.25">
      <c r="B27" s="93"/>
      <c r="C27" t="s">
        <v>231</v>
      </c>
      <c r="M27" s="152"/>
      <c r="P27" s="94"/>
    </row>
    <row r="28" spans="2:16" x14ac:dyDescent="0.25">
      <c r="B28" s="93"/>
      <c r="P28" s="94"/>
    </row>
    <row r="29" spans="2:16" x14ac:dyDescent="0.25">
      <c r="B29" s="93"/>
      <c r="C29" s="276" t="str">
        <f>IF(M27="No", "",IF(ISBLANK(M27),Inputs_still_required, "Planning obligation or commuted sum required"))</f>
        <v>Inputs still required</v>
      </c>
      <c r="D29" s="276"/>
      <c r="E29" s="276"/>
      <c r="F29" s="276"/>
      <c r="G29" s="276"/>
      <c r="P29" s="94"/>
    </row>
    <row r="30" spans="2:16" x14ac:dyDescent="0.25">
      <c r="B30" s="93"/>
      <c r="P30" s="94"/>
    </row>
    <row r="31" spans="2:16" ht="16.8" x14ac:dyDescent="0.3">
      <c r="B31" s="90"/>
      <c r="C31" s="127" t="s">
        <v>395</v>
      </c>
      <c r="D31" s="91"/>
      <c r="E31" s="91"/>
      <c r="F31" s="91"/>
      <c r="G31" s="91"/>
      <c r="H31" s="91"/>
      <c r="I31" s="91"/>
      <c r="J31" s="91"/>
      <c r="K31" s="91"/>
      <c r="L31" s="91"/>
      <c r="M31" s="91"/>
      <c r="N31" s="91"/>
      <c r="O31" s="91"/>
      <c r="P31" s="92"/>
    </row>
    <row r="32" spans="2:16" x14ac:dyDescent="0.25">
      <c r="B32" s="93"/>
      <c r="P32" s="94"/>
    </row>
    <row r="33" spans="2:16" x14ac:dyDescent="0.25">
      <c r="B33" s="93"/>
      <c r="C33" t="s">
        <v>300</v>
      </c>
      <c r="J33" s="152"/>
      <c r="P33" s="94"/>
    </row>
    <row r="34" spans="2:16" x14ac:dyDescent="0.25">
      <c r="B34" s="93"/>
      <c r="P34" s="94"/>
    </row>
    <row r="35" spans="2:16" x14ac:dyDescent="0.25">
      <c r="B35" s="93"/>
      <c r="C35" s="276" t="str">
        <f>IF(J33="No", "Planning obligation or commuted sum not required", IF(J33="Yes", "Planning obligation or commuted sum required",Inputs_still_required))</f>
        <v>Inputs still required</v>
      </c>
      <c r="D35" s="276"/>
      <c r="E35" s="276"/>
      <c r="F35" s="276"/>
      <c r="G35" s="276"/>
      <c r="P35" s="94"/>
    </row>
    <row r="36" spans="2:16" x14ac:dyDescent="0.25">
      <c r="B36" s="101"/>
      <c r="C36" s="102"/>
      <c r="D36" s="102"/>
      <c r="E36" s="102"/>
      <c r="F36" s="102"/>
      <c r="G36" s="102"/>
      <c r="H36" s="102"/>
      <c r="I36" s="102"/>
      <c r="J36" s="102"/>
      <c r="K36" s="102"/>
      <c r="L36" s="102"/>
      <c r="M36" s="102"/>
      <c r="N36" s="102"/>
      <c r="O36" s="102"/>
      <c r="P36" s="103"/>
    </row>
    <row r="38" spans="2:16" x14ac:dyDescent="0.25">
      <c r="C38" s="63" t="s">
        <v>213</v>
      </c>
    </row>
    <row r="47" spans="2:16" x14ac:dyDescent="0.25">
      <c r="C47" s="194"/>
    </row>
  </sheetData>
  <sheetProtection algorithmName="SHA-512" hashValue="D7XL3pWR5ml/pfN9lbAsX8pSFqYODYuWB3Pfp85nm2qQshVGa85pB7RObYVOhN8UogCsZ5oCEFS3M3SyMP/HzA==" saltValue="DlB2tApeJOt95ZHft2Ve5w==" spinCount="100000" sheet="1" selectLockedCells="1"/>
  <mergeCells count="10">
    <mergeCell ref="C35:G35"/>
    <mergeCell ref="C15:D15"/>
    <mergeCell ref="C16:D16"/>
    <mergeCell ref="C17:D17"/>
    <mergeCell ref="C29:G29"/>
    <mergeCell ref="E9:I9"/>
    <mergeCell ref="C23:G23"/>
    <mergeCell ref="F15:M15"/>
    <mergeCell ref="F16:M16"/>
    <mergeCell ref="F17:M17"/>
  </mergeCells>
  <conditionalFormatting sqref="C9">
    <cfRule type="expression" dxfId="15" priority="12">
      <formula>$C$9="Yes"</formula>
    </cfRule>
  </conditionalFormatting>
  <conditionalFormatting sqref="C17 E17:F17">
    <cfRule type="expression" priority="10" stopIfTrue="1">
      <formula>$F$17=""</formula>
    </cfRule>
    <cfRule type="expression" dxfId="14" priority="11">
      <formula>$F$17&gt;0</formula>
    </cfRule>
  </conditionalFormatting>
  <conditionalFormatting sqref="C29">
    <cfRule type="expression" dxfId="13" priority="6">
      <formula>OR(ISBLANK($M$27), M27="Yes")</formula>
    </cfRule>
  </conditionalFormatting>
  <conditionalFormatting sqref="C35">
    <cfRule type="expression" dxfId="12" priority="27">
      <formula>J33="Yes"</formula>
    </cfRule>
  </conditionalFormatting>
  <conditionalFormatting sqref="C29:G29">
    <cfRule type="expression" priority="4" stopIfTrue="1">
      <formula>$C$29=Inputs_still_required</formula>
    </cfRule>
  </conditionalFormatting>
  <conditionalFormatting sqref="C35:G35">
    <cfRule type="expression" priority="3" stopIfTrue="1">
      <formula>$C$35=Inputs_still_required</formula>
    </cfRule>
  </conditionalFormatting>
  <conditionalFormatting sqref="C23">
    <cfRule type="expression" dxfId="11" priority="2">
      <formula>OR(ISBLANK($K$21), K21="Yes")</formula>
    </cfRule>
  </conditionalFormatting>
  <conditionalFormatting sqref="C23:G23">
    <cfRule type="expression" priority="1" stopIfTrue="1">
      <formula>$C$23=Inputs_still_required</formula>
    </cfRule>
  </conditionalFormatting>
  <dataValidations count="1">
    <dataValidation type="decimal" operator="greaterThanOrEqual" showInputMessage="1" showErrorMessage="1" error="Must be a number, 0 or greater" sqref="E13" xr:uid="{00000000-0002-0000-0B00-000000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B00-000001000000}">
          <x14:formula1>
            <xm:f>'Lookup Yes and No'!$A$1:$A$2</xm:f>
          </x14:formula1>
          <xm:sqref>M27 J33 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B2:R50"/>
  <sheetViews>
    <sheetView workbookViewId="0">
      <selection activeCell="E12" sqref="E12:F12"/>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397</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P5" s="94"/>
    </row>
    <row r="6" spans="2:16" x14ac:dyDescent="0.25">
      <c r="B6" s="93"/>
      <c r="P6" s="94"/>
    </row>
    <row r="7" spans="2:16" x14ac:dyDescent="0.25">
      <c r="B7" s="93"/>
      <c r="C7" s="139" t="str">
        <f>IF(OR('Development Details'!M36&gt;=10,'Development Details'!E71&gt;=1000),"Yes", "No")</f>
        <v>No</v>
      </c>
      <c r="D7" s="1" t="s">
        <v>103</v>
      </c>
      <c r="E7" s="276" t="str">
        <f>IF(C7="Yes", "The development provides 10 or more dwellings, or 1,000m² or more of floorspace", "The development provides less than 10 dwellings and less than 1,000m² of floorspace")</f>
        <v>The development provides less than 10 dwellings and less than 1,000m² of floorspace</v>
      </c>
      <c r="F7" s="276"/>
      <c r="G7" s="276"/>
      <c r="H7" s="276"/>
      <c r="I7" s="276"/>
      <c r="J7" s="276"/>
      <c r="K7" s="276"/>
      <c r="L7" s="276"/>
      <c r="P7" s="94"/>
    </row>
    <row r="8" spans="2:16" x14ac:dyDescent="0.25">
      <c r="B8" s="93"/>
      <c r="P8" s="94"/>
    </row>
    <row r="9" spans="2:16" ht="16.8" x14ac:dyDescent="0.3">
      <c r="B9" s="93"/>
      <c r="C9" s="3" t="s">
        <v>235</v>
      </c>
      <c r="P9" s="94"/>
    </row>
    <row r="10" spans="2:16" ht="13.8" thickBot="1" x14ac:dyDescent="0.3">
      <c r="B10" s="93"/>
      <c r="C10" s="119"/>
      <c r="P10" s="94"/>
    </row>
    <row r="11" spans="2:16" ht="13.5" customHeight="1" thickBot="1" x14ac:dyDescent="0.3">
      <c r="B11" s="93"/>
      <c r="C11" s="238" t="s">
        <v>320</v>
      </c>
      <c r="D11" s="238"/>
      <c r="E11" s="306" t="s">
        <v>189</v>
      </c>
      <c r="F11" s="306"/>
      <c r="P11" s="94"/>
    </row>
    <row r="12" spans="2:16" x14ac:dyDescent="0.25">
      <c r="B12" s="93"/>
      <c r="C12" s="281" t="s">
        <v>232</v>
      </c>
      <c r="D12" s="281"/>
      <c r="E12" s="236">
        <v>0</v>
      </c>
      <c r="F12" s="236"/>
      <c r="P12" s="94"/>
    </row>
    <row r="13" spans="2:16" ht="13.8" thickBot="1" x14ac:dyDescent="0.3">
      <c r="B13" s="93"/>
      <c r="C13" s="247" t="s">
        <v>233</v>
      </c>
      <c r="D13" s="247"/>
      <c r="E13" s="234">
        <v>0</v>
      </c>
      <c r="F13" s="234"/>
      <c r="P13" s="94"/>
    </row>
    <row r="14" spans="2:16" ht="13.8" thickBot="1" x14ac:dyDescent="0.3">
      <c r="B14" s="93"/>
      <c r="C14" s="268" t="s">
        <v>188</v>
      </c>
      <c r="D14" s="268"/>
      <c r="E14" s="305">
        <f>IF(E13&gt;E12,E13-E12,0)</f>
        <v>0</v>
      </c>
      <c r="F14" s="305"/>
      <c r="P14" s="94"/>
    </row>
    <row r="15" spans="2:16" ht="13.8" thickBot="1" x14ac:dyDescent="0.3">
      <c r="B15" s="93"/>
      <c r="P15" s="94"/>
    </row>
    <row r="16" spans="2:16" ht="13.5" customHeight="1" thickBot="1" x14ac:dyDescent="0.3">
      <c r="B16" s="93"/>
      <c r="C16" s="238" t="s">
        <v>321</v>
      </c>
      <c r="D16" s="238"/>
      <c r="E16" s="306" t="s">
        <v>189</v>
      </c>
      <c r="F16" s="306"/>
      <c r="P16" s="94"/>
    </row>
    <row r="17" spans="2:16" x14ac:dyDescent="0.25">
      <c r="B17" s="93"/>
      <c r="C17" s="281" t="s">
        <v>234</v>
      </c>
      <c r="D17" s="281"/>
      <c r="E17" s="236">
        <v>0</v>
      </c>
      <c r="F17" s="236"/>
      <c r="P17" s="94"/>
    </row>
    <row r="18" spans="2:16" ht="13.8" thickBot="1" x14ac:dyDescent="0.3">
      <c r="B18" s="93"/>
      <c r="C18" s="247" t="s">
        <v>233</v>
      </c>
      <c r="D18" s="247"/>
      <c r="E18" s="234">
        <v>0</v>
      </c>
      <c r="F18" s="234"/>
      <c r="P18" s="94"/>
    </row>
    <row r="19" spans="2:16" ht="13.8" thickBot="1" x14ac:dyDescent="0.3">
      <c r="B19" s="93"/>
      <c r="C19" s="238" t="s">
        <v>188</v>
      </c>
      <c r="D19" s="238"/>
      <c r="E19" s="305">
        <f>IF(E18&gt;E17,E18-E17,0)</f>
        <v>0</v>
      </c>
      <c r="F19" s="305"/>
      <c r="P19" s="94"/>
    </row>
    <row r="20" spans="2:16" x14ac:dyDescent="0.25">
      <c r="B20" s="93"/>
      <c r="P20" s="94"/>
    </row>
    <row r="21" spans="2:16" ht="16.8" x14ac:dyDescent="0.3">
      <c r="B21" s="93"/>
      <c r="C21" s="3" t="s">
        <v>191</v>
      </c>
      <c r="P21" s="94"/>
    </row>
    <row r="22" spans="2:16" x14ac:dyDescent="0.25">
      <c r="B22" s="93"/>
      <c r="P22" s="94"/>
    </row>
    <row r="23" spans="2:16" x14ac:dyDescent="0.25">
      <c r="B23" s="93"/>
      <c r="C23" t="s">
        <v>192</v>
      </c>
      <c r="G23" s="139" t="str">
        <f>IF(C7="No","", IF((E14+E19)&gt;0,"Yes", "No"))</f>
        <v/>
      </c>
      <c r="H23" s="1" t="s">
        <v>103</v>
      </c>
      <c r="I23" s="276" t="str">
        <f>IF(G23="Yes","Emission benchmarks are exceeded", IF(G23="No", "Emission benchmarks are not exceeded", ""))</f>
        <v/>
      </c>
      <c r="J23" s="276"/>
      <c r="K23" s="276"/>
      <c r="L23" s="276"/>
      <c r="P23" s="94"/>
    </row>
    <row r="24" spans="2:16" x14ac:dyDescent="0.25">
      <c r="B24" s="93"/>
      <c r="D24" s="1"/>
      <c r="P24" s="94"/>
    </row>
    <row r="25" spans="2:16" x14ac:dyDescent="0.25">
      <c r="B25" s="93"/>
      <c r="C25" s="119" t="s">
        <v>193</v>
      </c>
      <c r="P25" s="94"/>
    </row>
    <row r="26" spans="2:16" x14ac:dyDescent="0.25">
      <c r="B26" s="93"/>
      <c r="P26" s="94"/>
    </row>
    <row r="27" spans="2:16" x14ac:dyDescent="0.25">
      <c r="B27" s="93"/>
      <c r="C27" t="s">
        <v>190</v>
      </c>
      <c r="J27" s="152"/>
      <c r="P27" s="94"/>
    </row>
    <row r="28" spans="2:16" x14ac:dyDescent="0.25">
      <c r="B28" s="93"/>
      <c r="P28" s="94"/>
    </row>
    <row r="29" spans="2:16" x14ac:dyDescent="0.25">
      <c r="B29" s="93"/>
      <c r="C29" s="308" t="s">
        <v>194</v>
      </c>
      <c r="D29" s="308"/>
      <c r="E29" s="277" t="str">
        <f>IF(G23="","",IF(G23="No","No", IF(J27="No","Yes", IF(ISBLANK(J27),Inputs_still_required,"No"))))</f>
        <v/>
      </c>
      <c r="F29" s="279" t="s">
        <v>103</v>
      </c>
      <c r="G29" s="296" t="str">
        <f>IF(E29="Yes","The air quality impacts of the new development will not be fully mitigated",IF(AND(E29="No",G23="Yes"),"The air quality impacts of the new development will be fully mitigated",""))</f>
        <v/>
      </c>
      <c r="H29" s="296"/>
      <c r="I29" s="296"/>
      <c r="J29" s="296"/>
      <c r="P29" s="94"/>
    </row>
    <row r="30" spans="2:16" x14ac:dyDescent="0.25">
      <c r="B30" s="93"/>
      <c r="C30" s="308"/>
      <c r="D30" s="308"/>
      <c r="E30" s="277"/>
      <c r="F30" s="279"/>
      <c r="G30" s="296"/>
      <c r="H30" s="296"/>
      <c r="I30" s="296"/>
      <c r="J30" s="296"/>
      <c r="P30" s="94"/>
    </row>
    <row r="31" spans="2:16" x14ac:dyDescent="0.25">
      <c r="B31" s="93"/>
      <c r="P31" s="94"/>
    </row>
    <row r="32" spans="2:16" ht="14.4" x14ac:dyDescent="0.3">
      <c r="B32" s="93"/>
      <c r="C32" s="292" t="s">
        <v>195</v>
      </c>
      <c r="D32" s="292"/>
      <c r="E32" s="292"/>
      <c r="F32" s="141" t="s">
        <v>118</v>
      </c>
      <c r="G32" s="292" t="s">
        <v>322</v>
      </c>
      <c r="H32" s="292"/>
      <c r="I32" s="292"/>
      <c r="J32" s="292"/>
      <c r="K32" s="292"/>
      <c r="L32" s="292"/>
      <c r="M32" s="292"/>
      <c r="N32" s="292"/>
      <c r="O32" s="292"/>
      <c r="P32" s="94"/>
    </row>
    <row r="33" spans="2:18" ht="14.4" x14ac:dyDescent="0.3">
      <c r="B33" s="93"/>
      <c r="C33" s="292"/>
      <c r="D33" s="292"/>
      <c r="E33" s="292"/>
      <c r="F33" s="141" t="s">
        <v>118</v>
      </c>
      <c r="G33" s="307" t="s">
        <v>323</v>
      </c>
      <c r="H33" s="307"/>
      <c r="I33" s="307"/>
      <c r="J33" s="307"/>
      <c r="K33" s="307"/>
      <c r="L33" s="307"/>
      <c r="M33" s="307"/>
      <c r="N33" s="307"/>
      <c r="O33" s="307"/>
      <c r="P33" s="153"/>
      <c r="Q33" s="88"/>
      <c r="R33" s="88"/>
    </row>
    <row r="34" spans="2:18" x14ac:dyDescent="0.25">
      <c r="B34" s="93"/>
      <c r="C34" s="285"/>
      <c r="D34" s="285"/>
      <c r="E34" s="285"/>
      <c r="F34" s="142" t="s">
        <v>118</v>
      </c>
      <c r="G34" s="285" t="str">
        <f>IF(OR(E29="No",E29=""),"",IF(E29=Inputs_still_required,Inputs_still_required,"(£29,000 × ("&amp;TEXT(E14,"#,##0")&amp;" / 1,000)) + (£192,456 × ("&amp;TEXT(E19,"#,##0")&amp;" / 1,000))"))</f>
        <v/>
      </c>
      <c r="H34" s="285"/>
      <c r="I34" s="285"/>
      <c r="J34" s="285"/>
      <c r="K34" s="285"/>
      <c r="L34" s="285"/>
      <c r="M34" s="285"/>
      <c r="N34" s="285"/>
      <c r="O34" s="285"/>
      <c r="P34" s="94"/>
    </row>
    <row r="35" spans="2:18" x14ac:dyDescent="0.25">
      <c r="B35" s="93"/>
      <c r="C35" s="285"/>
      <c r="D35" s="285"/>
      <c r="E35" s="285"/>
      <c r="F35" s="142" t="s">
        <v>118</v>
      </c>
      <c r="G35" s="285" t="str">
        <f>IF(OR(E29="No",E29=""),"",IF(G34=Inputs_still_required,Inputs_still_required,"£"&amp;(TEXT(29000*(E14/1000),"#,##0"))&amp;" + £"&amp;(TEXT(192456*(E19/1000),"#,##0"))))</f>
        <v/>
      </c>
      <c r="H35" s="285"/>
      <c r="I35" s="285"/>
      <c r="J35" s="285"/>
      <c r="K35" s="285"/>
      <c r="L35" s="285"/>
      <c r="M35" s="285"/>
      <c r="N35" s="285"/>
      <c r="O35" s="285"/>
      <c r="P35" s="94"/>
    </row>
    <row r="36" spans="2:18" x14ac:dyDescent="0.25">
      <c r="B36" s="93"/>
      <c r="C36" s="276"/>
      <c r="D36" s="276"/>
      <c r="E36" s="276"/>
      <c r="F36" s="144" t="s">
        <v>118</v>
      </c>
      <c r="G36" s="291" t="str">
        <f>IF(OR(E29="",E29="No"),"",IF(G35=Inputs_still_required,Inputs_still_required,(29000*(E14/1000)) + (192456*(E19/1000))))</f>
        <v/>
      </c>
      <c r="H36" s="291"/>
      <c r="I36" s="291"/>
      <c r="J36" s="291"/>
      <c r="K36" s="291"/>
      <c r="L36" s="291"/>
      <c r="M36" s="291"/>
      <c r="N36" s="291"/>
      <c r="O36" s="291"/>
      <c r="P36" s="94"/>
    </row>
    <row r="37" spans="2:18" x14ac:dyDescent="0.25">
      <c r="B37" s="93"/>
      <c r="P37" s="94"/>
    </row>
    <row r="38" spans="2:18" ht="19.2" thickBot="1" x14ac:dyDescent="0.35">
      <c r="B38" s="95"/>
      <c r="C38" s="96" t="s">
        <v>428</v>
      </c>
      <c r="D38" s="96"/>
      <c r="E38" s="96"/>
      <c r="F38" s="96"/>
      <c r="G38" s="96"/>
      <c r="H38" s="96"/>
      <c r="I38" s="96"/>
      <c r="J38" s="96"/>
      <c r="K38" s="96"/>
      <c r="L38" s="96"/>
      <c r="M38" s="96"/>
      <c r="N38" s="96"/>
      <c r="O38" s="96"/>
      <c r="P38" s="97"/>
    </row>
    <row r="39" spans="2:18" ht="13.8" thickTop="1" x14ac:dyDescent="0.25">
      <c r="B39" s="93"/>
      <c r="P39" s="94"/>
    </row>
    <row r="40" spans="2:18" ht="16.8" x14ac:dyDescent="0.3">
      <c r="B40" s="93"/>
      <c r="C40" s="3" t="s">
        <v>101</v>
      </c>
      <c r="P40" s="94"/>
    </row>
    <row r="41" spans="2:18" x14ac:dyDescent="0.25">
      <c r="B41" s="93"/>
      <c r="P41" s="94"/>
    </row>
    <row r="42" spans="2:18" x14ac:dyDescent="0.25">
      <c r="B42" s="93"/>
      <c r="C42" s="139" t="str">
        <f>IF(OR('Development Details'!M36&gt;=10,'Development Details'!E71&gt;=1000),"Yes", "No")</f>
        <v>No</v>
      </c>
      <c r="D42" s="1" t="s">
        <v>103</v>
      </c>
      <c r="E42" s="276" t="str">
        <f>IF(C42="Yes", "The development provides 10 or more dwellings, or 1,000m² or more of floorspace", "The development provides less than 10 dwellings and less than 1,000m² of floorspace")</f>
        <v>The development provides less than 10 dwellings and less than 1,000m² of floorspace</v>
      </c>
      <c r="F42" s="276"/>
      <c r="G42" s="276"/>
      <c r="H42" s="276"/>
      <c r="I42" s="276"/>
      <c r="J42" s="276"/>
      <c r="K42" s="276"/>
      <c r="L42" s="276"/>
      <c r="P42" s="94"/>
    </row>
    <row r="43" spans="2:18" x14ac:dyDescent="0.25">
      <c r="B43" s="93"/>
      <c r="P43" s="94"/>
    </row>
    <row r="44" spans="2:18" ht="12.75" customHeight="1" x14ac:dyDescent="0.25">
      <c r="B44" s="93"/>
      <c r="C44" s="123" t="s">
        <v>236</v>
      </c>
      <c r="D44" s="125"/>
      <c r="E44" s="125"/>
      <c r="F44" s="125"/>
      <c r="G44" s="125"/>
      <c r="H44" s="125"/>
      <c r="I44" s="125"/>
      <c r="L44" s="120"/>
      <c r="P44" s="94"/>
    </row>
    <row r="45" spans="2:18" x14ac:dyDescent="0.25">
      <c r="B45" s="93"/>
      <c r="C45" s="125"/>
      <c r="D45" s="125"/>
      <c r="E45" s="125"/>
      <c r="F45" s="125"/>
      <c r="G45" s="125"/>
      <c r="H45" s="125"/>
      <c r="I45" s="125"/>
      <c r="J45" s="125"/>
      <c r="P45" s="94"/>
    </row>
    <row r="46" spans="2:18" x14ac:dyDescent="0.25">
      <c r="B46" s="93"/>
      <c r="C46" s="249" t="s">
        <v>125</v>
      </c>
      <c r="D46" s="249"/>
      <c r="E46" s="277" t="str">
        <f>IF(C42="No", "", IF(ISBLANK(L44),Inputs_still_required,L44))</f>
        <v/>
      </c>
      <c r="F46" s="279" t="s">
        <v>103</v>
      </c>
      <c r="G46" s="296" t="str">
        <f>IF(OR(C42="No",E46=Inputs_still_required),"",IF(L44="Yes","The proposal has a street cleansing impact that cannot be mitigated and contained wholly on site","The proposal does not have a street cleansing impact or it can be mitigated and contained wholly on site"))</f>
        <v/>
      </c>
      <c r="H46" s="296"/>
      <c r="I46" s="296"/>
      <c r="J46" s="296"/>
      <c r="K46" s="296"/>
      <c r="P46" s="94"/>
    </row>
    <row r="47" spans="2:18" x14ac:dyDescent="0.25">
      <c r="B47" s="93"/>
      <c r="C47" s="309"/>
      <c r="D47" s="249"/>
      <c r="E47" s="277"/>
      <c r="F47" s="279"/>
      <c r="G47" s="296"/>
      <c r="H47" s="296"/>
      <c r="I47" s="296"/>
      <c r="J47" s="296"/>
      <c r="K47" s="296"/>
      <c r="P47" s="94"/>
    </row>
    <row r="48" spans="2:18" x14ac:dyDescent="0.25">
      <c r="B48" s="101"/>
      <c r="C48" s="102"/>
      <c r="D48" s="102"/>
      <c r="E48" s="102"/>
      <c r="F48" s="102"/>
      <c r="G48" s="102"/>
      <c r="H48" s="102"/>
      <c r="I48" s="102"/>
      <c r="J48" s="102"/>
      <c r="K48" s="102"/>
      <c r="L48" s="102"/>
      <c r="M48" s="102"/>
      <c r="N48" s="102"/>
      <c r="O48" s="102"/>
      <c r="P48" s="103"/>
    </row>
    <row r="50" spans="3:3" x14ac:dyDescent="0.25">
      <c r="C50" s="63" t="s">
        <v>213</v>
      </c>
    </row>
  </sheetData>
  <sheetProtection algorithmName="SHA-512" hashValue="xTw7CKqb+EGCLgbCShc2eP3SBGHWGp45eBoP28O4seULR3aK82vY6qejH2kns3tFFD+Jnu7mlgv7NFD31r3rCA==" saltValue="4OmVC0nM41JiM1EoG3Mbcg==" spinCount="100000" sheet="1" selectLockedCells="1"/>
  <mergeCells count="37">
    <mergeCell ref="G36:O36"/>
    <mergeCell ref="E46:E47"/>
    <mergeCell ref="G46:K47"/>
    <mergeCell ref="F46:F47"/>
    <mergeCell ref="E7:L7"/>
    <mergeCell ref="I23:L23"/>
    <mergeCell ref="C32:E32"/>
    <mergeCell ref="C33:E33"/>
    <mergeCell ref="C34:E34"/>
    <mergeCell ref="C35:E35"/>
    <mergeCell ref="C36:E36"/>
    <mergeCell ref="E29:E30"/>
    <mergeCell ref="C29:D30"/>
    <mergeCell ref="F29:F30"/>
    <mergeCell ref="G29:J30"/>
    <mergeCell ref="C46:D47"/>
    <mergeCell ref="E11:F11"/>
    <mergeCell ref="G33:O33"/>
    <mergeCell ref="G32:O32"/>
    <mergeCell ref="G34:O34"/>
    <mergeCell ref="G35:O35"/>
    <mergeCell ref="E42:L42"/>
    <mergeCell ref="E18:F18"/>
    <mergeCell ref="E19:F19"/>
    <mergeCell ref="C11:D11"/>
    <mergeCell ref="C12:D12"/>
    <mergeCell ref="C13:D13"/>
    <mergeCell ref="C14:D14"/>
    <mergeCell ref="C16:D16"/>
    <mergeCell ref="C17:D17"/>
    <mergeCell ref="C18:D18"/>
    <mergeCell ref="C19:D19"/>
    <mergeCell ref="E12:F12"/>
    <mergeCell ref="E13:F13"/>
    <mergeCell ref="E14:F14"/>
    <mergeCell ref="E16:F16"/>
    <mergeCell ref="E17:F17"/>
  </mergeCells>
  <conditionalFormatting sqref="C7">
    <cfRule type="expression" dxfId="10" priority="8">
      <formula>$C$7="Yes"</formula>
    </cfRule>
  </conditionalFormatting>
  <conditionalFormatting sqref="G23">
    <cfRule type="expression" dxfId="9" priority="7">
      <formula>$G$23="Yes"</formula>
    </cfRule>
  </conditionalFormatting>
  <conditionalFormatting sqref="E29">
    <cfRule type="expression" dxfId="8" priority="6">
      <formula>$E$29="Yes"</formula>
    </cfRule>
  </conditionalFormatting>
  <conditionalFormatting sqref="C36 F36:G36">
    <cfRule type="expression" priority="1" stopIfTrue="1">
      <formula>$G$36=""</formula>
    </cfRule>
    <cfRule type="expression" dxfId="7" priority="5">
      <formula>$G$36&gt;0</formula>
    </cfRule>
  </conditionalFormatting>
  <conditionalFormatting sqref="C42">
    <cfRule type="expression" dxfId="6" priority="3">
      <formula>$C$42="Yes"</formula>
    </cfRule>
  </conditionalFormatting>
  <conditionalFormatting sqref="E46">
    <cfRule type="expression" dxfId="5" priority="2">
      <formula>$E$46="Yes"</formula>
    </cfRule>
  </conditionalFormatting>
  <conditionalFormatting sqref="C36:O36">
    <cfRule type="expression" priority="4" stopIfTrue="1">
      <formula>$G$36=Inputs_still_required</formula>
    </cfRule>
  </conditionalFormatting>
  <dataValidations count="3">
    <dataValidation type="decimal" operator="greaterThanOrEqual" allowBlank="1" showInputMessage="1" showErrorMessage="1" error="Emmission benchmark must be a number, 0 or greater" sqref="E12" xr:uid="{00000000-0002-0000-0C00-000000000000}">
      <formula1>0</formula1>
    </dataValidation>
    <dataValidation type="decimal" operator="greaterThanOrEqual" allowBlank="1" showInputMessage="1" showErrorMessage="1" error="Emissions must be a number, 0 or greater" sqref="E13 E18" xr:uid="{00000000-0002-0000-0C00-000001000000}">
      <formula1>0</formula1>
    </dataValidation>
    <dataValidation type="decimal" operator="greaterThanOrEqual" allowBlank="1" showInputMessage="1" showErrorMessage="1" error="Emission benchmark must be a number, 0 or greater" sqref="E17" xr:uid="{00000000-0002-0000-0C00-000002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7" min="1"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C00-000003000000}">
          <x14:formula1>
            <xm:f>'Lookup Yes and No'!$A$1:$A$2</xm:f>
          </x14:formula1>
          <xm:sqref>J27 L44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B2:P47"/>
  <sheetViews>
    <sheetView workbookViewId="0">
      <selection activeCell="M5" sqref="M5"/>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398</v>
      </c>
      <c r="D3" s="96"/>
      <c r="E3" s="96"/>
      <c r="F3" s="96"/>
      <c r="G3" s="96"/>
      <c r="H3" s="96"/>
      <c r="I3" s="96"/>
      <c r="J3" s="96"/>
      <c r="K3" s="96"/>
      <c r="L3" s="96"/>
      <c r="M3" s="96"/>
      <c r="N3" s="96"/>
      <c r="O3" s="96"/>
      <c r="P3" s="97"/>
    </row>
    <row r="4" spans="2:16" ht="13.8" thickTop="1" x14ac:dyDescent="0.25">
      <c r="B4" s="93"/>
      <c r="P4" s="94"/>
    </row>
    <row r="5" spans="2:16" x14ac:dyDescent="0.25">
      <c r="B5" s="93"/>
      <c r="C5" t="s">
        <v>237</v>
      </c>
      <c r="M5" s="152"/>
      <c r="P5" s="94"/>
    </row>
    <row r="6" spans="2:16" x14ac:dyDescent="0.25">
      <c r="B6" s="93"/>
      <c r="P6" s="94"/>
    </row>
    <row r="7" spans="2:16" x14ac:dyDescent="0.25">
      <c r="B7" s="93"/>
      <c r="C7" s="280" t="s">
        <v>238</v>
      </c>
      <c r="D7" s="280"/>
      <c r="E7" s="280"/>
      <c r="F7" s="280"/>
      <c r="G7" s="277" t="str">
        <f>IF(ISBLANK(M5),Inputs_still_required,M5)</f>
        <v>Inputs still required</v>
      </c>
      <c r="P7" s="94"/>
    </row>
    <row r="8" spans="2:16" x14ac:dyDescent="0.25">
      <c r="B8" s="93"/>
      <c r="C8" s="280"/>
      <c r="D8" s="280"/>
      <c r="E8" s="280"/>
      <c r="F8" s="280"/>
      <c r="G8" s="277"/>
      <c r="P8" s="94"/>
    </row>
    <row r="9" spans="2:16" x14ac:dyDescent="0.25">
      <c r="B9" s="93"/>
      <c r="P9" s="94"/>
    </row>
    <row r="10" spans="2:16" ht="19.2" thickBot="1" x14ac:dyDescent="0.35">
      <c r="B10" s="95"/>
      <c r="C10" s="96" t="s">
        <v>399</v>
      </c>
      <c r="D10" s="96"/>
      <c r="E10" s="96"/>
      <c r="F10" s="96"/>
      <c r="G10" s="96"/>
      <c r="H10" s="96"/>
      <c r="I10" s="96"/>
      <c r="J10" s="96"/>
      <c r="K10" s="96"/>
      <c r="L10" s="96"/>
      <c r="M10" s="96"/>
      <c r="N10" s="96"/>
      <c r="O10" s="96"/>
      <c r="P10" s="97"/>
    </row>
    <row r="11" spans="2:16" ht="13.8" thickTop="1" x14ac:dyDescent="0.25">
      <c r="B11" s="93"/>
      <c r="P11" s="94"/>
    </row>
    <row r="12" spans="2:16" x14ac:dyDescent="0.25">
      <c r="B12" s="93"/>
      <c r="C12" t="s">
        <v>239</v>
      </c>
      <c r="L12" s="152"/>
      <c r="P12" s="94"/>
    </row>
    <row r="13" spans="2:16" x14ac:dyDescent="0.25">
      <c r="B13" s="93"/>
      <c r="P13" s="94"/>
    </row>
    <row r="14" spans="2:16" x14ac:dyDescent="0.25">
      <c r="B14" s="93"/>
      <c r="C14" s="217" t="s">
        <v>240</v>
      </c>
      <c r="D14" s="217"/>
      <c r="E14" s="217"/>
      <c r="F14" s="277" t="str">
        <f>IF(ISBLANK(L12),Inputs_still_required,L12)</f>
        <v>Inputs still required</v>
      </c>
      <c r="P14" s="94"/>
    </row>
    <row r="15" spans="2:16" x14ac:dyDescent="0.25">
      <c r="B15" s="93"/>
      <c r="C15" s="217"/>
      <c r="D15" s="217"/>
      <c r="E15" s="217"/>
      <c r="F15" s="277"/>
      <c r="P15" s="94"/>
    </row>
    <row r="16" spans="2:16" x14ac:dyDescent="0.25">
      <c r="B16" s="101"/>
      <c r="C16" s="102"/>
      <c r="D16" s="102"/>
      <c r="E16" s="102"/>
      <c r="F16" s="102"/>
      <c r="G16" s="102"/>
      <c r="H16" s="102"/>
      <c r="I16" s="102"/>
      <c r="J16" s="102"/>
      <c r="K16" s="102"/>
      <c r="L16" s="102"/>
      <c r="M16" s="102"/>
      <c r="N16" s="102"/>
      <c r="O16" s="102"/>
      <c r="P16" s="103"/>
    </row>
    <row r="18" spans="3:3" x14ac:dyDescent="0.25">
      <c r="C18" s="63" t="s">
        <v>213</v>
      </c>
    </row>
    <row r="47" spans="3:3" x14ac:dyDescent="0.25">
      <c r="C47" s="194"/>
    </row>
  </sheetData>
  <sheetProtection algorithmName="SHA-512" hashValue="l7PR5Zx7vOWEEyyXlz18ZLN/8fuW2P0Jec5BLqP7AkpcQ3Upw4fJ7DEP+eXDrbYTdHlGB09ZICgFsX/FIbLkBw==" saltValue="NnHi+tZZ+IUWwLoHrWnAVw==" spinCount="100000" sheet="1" selectLockedCells="1"/>
  <mergeCells count="4">
    <mergeCell ref="G7:G8"/>
    <mergeCell ref="C7:F8"/>
    <mergeCell ref="C14:E15"/>
    <mergeCell ref="F14:F15"/>
  </mergeCells>
  <conditionalFormatting sqref="G7">
    <cfRule type="expression" dxfId="4" priority="2">
      <formula>$G$7="Yes"</formula>
    </cfRule>
  </conditionalFormatting>
  <conditionalFormatting sqref="F14">
    <cfRule type="expression" dxfId="3" priority="1">
      <formula>$F$14="Yes"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D00-000000000000}">
          <x14:formula1>
            <xm:f>'Lookup Yes and No'!$A$1:$A$2</xm:f>
          </x14:formula1>
          <xm:sqref>M5 L12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B2:R66"/>
  <sheetViews>
    <sheetView workbookViewId="0">
      <selection activeCell="E21" sqref="E21:H21"/>
    </sheetView>
  </sheetViews>
  <sheetFormatPr defaultColWidth="9.109375" defaultRowHeight="13.2" x14ac:dyDescent="0.25"/>
  <cols>
    <col min="1" max="2" width="2.6640625" customWidth="1"/>
    <col min="3" max="8" width="9.109375" customWidth="1"/>
    <col min="12" max="12" width="9.10937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354</v>
      </c>
      <c r="D3" s="96"/>
      <c r="E3" s="96"/>
      <c r="F3" s="96"/>
      <c r="G3" s="96"/>
      <c r="H3" s="96"/>
      <c r="I3" s="96"/>
      <c r="J3" s="96"/>
      <c r="K3" s="96"/>
      <c r="L3" s="96"/>
      <c r="M3" s="96"/>
      <c r="N3" s="96"/>
      <c r="O3" s="96"/>
      <c r="P3" s="97"/>
    </row>
    <row r="4" spans="2:16" ht="13.8" thickTop="1" x14ac:dyDescent="0.25">
      <c r="B4" s="93"/>
      <c r="P4" s="94"/>
    </row>
    <row r="5" spans="2:16" ht="16.8" x14ac:dyDescent="0.3">
      <c r="B5" s="93"/>
      <c r="C5" s="297" t="s">
        <v>101</v>
      </c>
      <c r="D5" s="297"/>
      <c r="E5" s="297"/>
      <c r="F5" s="297"/>
      <c r="G5" s="297"/>
      <c r="H5" s="297"/>
      <c r="I5" s="297"/>
      <c r="J5" s="297"/>
      <c r="K5" s="297"/>
      <c r="L5" s="297"/>
      <c r="M5" s="297"/>
      <c r="N5" s="297"/>
      <c r="P5" s="94"/>
    </row>
    <row r="6" spans="2:16" x14ac:dyDescent="0.25">
      <c r="B6" s="93"/>
      <c r="P6" s="94"/>
    </row>
    <row r="7" spans="2:16" x14ac:dyDescent="0.25">
      <c r="B7" s="93"/>
      <c r="C7" s="154" t="s">
        <v>1</v>
      </c>
      <c r="D7" s="1" t="s">
        <v>103</v>
      </c>
      <c r="E7" s="276" t="s">
        <v>102</v>
      </c>
      <c r="F7" s="276"/>
      <c r="G7" s="276"/>
      <c r="H7" s="276"/>
      <c r="P7" s="94"/>
    </row>
    <row r="8" spans="2:16" x14ac:dyDescent="0.25">
      <c r="B8" s="93"/>
      <c r="P8" s="94"/>
    </row>
    <row r="9" spans="2:16" ht="16.8" x14ac:dyDescent="0.3">
      <c r="B9" s="90"/>
      <c r="C9" s="127" t="s">
        <v>266</v>
      </c>
      <c r="D9" s="127"/>
      <c r="E9" s="127"/>
      <c r="F9" s="127"/>
      <c r="G9" s="127"/>
      <c r="H9" s="127"/>
      <c r="I9" s="127"/>
      <c r="J9" s="127"/>
      <c r="K9" s="127"/>
      <c r="L9" s="127"/>
      <c r="M9" s="127"/>
      <c r="N9" s="127"/>
      <c r="O9" s="91"/>
      <c r="P9" s="92"/>
    </row>
    <row r="10" spans="2:16" x14ac:dyDescent="0.25">
      <c r="B10" s="93"/>
      <c r="P10" s="94"/>
    </row>
    <row r="11" spans="2:16" ht="12.75" customHeight="1" x14ac:dyDescent="0.25">
      <c r="B11" s="93"/>
      <c r="C11" s="352" t="s">
        <v>343</v>
      </c>
      <c r="D11" s="352"/>
      <c r="E11" s="350" t="s">
        <v>118</v>
      </c>
      <c r="F11" s="353" t="s">
        <v>263</v>
      </c>
      <c r="G11" s="353"/>
      <c r="H11" s="98"/>
      <c r="I11" s="348" t="s">
        <v>262</v>
      </c>
      <c r="J11" s="348"/>
      <c r="K11" s="350" t="s">
        <v>118</v>
      </c>
      <c r="L11" s="349" t="s">
        <v>440</v>
      </c>
      <c r="M11" s="349"/>
      <c r="N11" s="349"/>
      <c r="P11" s="145"/>
    </row>
    <row r="12" spans="2:16" x14ac:dyDescent="0.25">
      <c r="B12" s="93"/>
      <c r="C12" s="352"/>
      <c r="D12" s="352"/>
      <c r="E12" s="350"/>
      <c r="F12" s="353"/>
      <c r="G12" s="353"/>
      <c r="H12" s="98"/>
      <c r="I12" s="348"/>
      <c r="J12" s="348"/>
      <c r="K12" s="350"/>
      <c r="L12" s="349"/>
      <c r="M12" s="349"/>
      <c r="N12" s="349"/>
      <c r="P12" s="145"/>
    </row>
    <row r="13" spans="2:16" x14ac:dyDescent="0.25">
      <c r="B13" s="93"/>
      <c r="C13" s="311"/>
      <c r="D13" s="311"/>
      <c r="E13" s="354" t="s">
        <v>118</v>
      </c>
      <c r="F13" s="314" t="str">
        <f>IF(K29=Inputs_still_required,Inputs_still_required,TEXT(D27,"#,##0.0")&amp;" hours × £"&amp;TEXT(C21,"#,##0.00")&amp;" per hour")</f>
        <v>Inputs still required</v>
      </c>
      <c r="G13" s="314"/>
      <c r="I13" s="351"/>
      <c r="J13" s="351"/>
      <c r="K13" s="354" t="s">
        <v>118</v>
      </c>
      <c r="L13" s="355" t="str">
        <f>IF(K29=Inputs_still_required,Inputs_still_required,TEXT(F15,"£#,##0")&amp;" × "&amp;IF(D58=1,1,TEXT(D58,"#,##0.000")))</f>
        <v>Inputs still required</v>
      </c>
      <c r="M13" s="355"/>
      <c r="N13" s="355"/>
      <c r="P13" s="94"/>
    </row>
    <row r="14" spans="2:16" x14ac:dyDescent="0.25">
      <c r="B14" s="93"/>
      <c r="C14" s="285"/>
      <c r="D14" s="285"/>
      <c r="E14" s="354"/>
      <c r="F14" s="314"/>
      <c r="G14" s="314"/>
      <c r="I14" s="351"/>
      <c r="J14" s="351"/>
      <c r="K14" s="354"/>
      <c r="L14" s="355"/>
      <c r="M14" s="355"/>
      <c r="N14" s="355"/>
      <c r="P14" s="94"/>
    </row>
    <row r="15" spans="2:16" x14ac:dyDescent="0.25">
      <c r="B15" s="93"/>
      <c r="C15" s="312"/>
      <c r="D15" s="312"/>
      <c r="E15" s="155" t="s">
        <v>118</v>
      </c>
      <c r="F15" s="310" t="str">
        <f>IF(K29=Inputs_still_required,Inputs_still_required,(D27*C21))</f>
        <v>Inputs still required</v>
      </c>
      <c r="G15" s="310"/>
      <c r="I15" s="154"/>
      <c r="J15" s="154"/>
      <c r="K15" s="155" t="s">
        <v>118</v>
      </c>
      <c r="L15" s="310" t="str">
        <f>IF(K29=Inputs_still_required,Inputs_still_required,F15*D58)</f>
        <v>Inputs still required</v>
      </c>
      <c r="M15" s="310"/>
      <c r="N15" s="310"/>
      <c r="P15" s="94"/>
    </row>
    <row r="16" spans="2:16" x14ac:dyDescent="0.25">
      <c r="B16" s="93"/>
      <c r="P16" s="94"/>
    </row>
    <row r="17" spans="2:16" ht="16.8" x14ac:dyDescent="0.3">
      <c r="B17" s="90"/>
      <c r="C17" s="127" t="s">
        <v>73</v>
      </c>
      <c r="D17" s="127"/>
      <c r="E17" s="127"/>
      <c r="F17" s="127"/>
      <c r="G17" s="127"/>
      <c r="H17" s="127"/>
      <c r="I17" s="127"/>
      <c r="J17" s="127"/>
      <c r="K17" s="127"/>
      <c r="L17" s="127"/>
      <c r="M17" s="127"/>
      <c r="N17" s="127"/>
      <c r="O17" s="91"/>
      <c r="P17" s="92"/>
    </row>
    <row r="18" spans="2:16" x14ac:dyDescent="0.25">
      <c r="B18" s="93"/>
      <c r="P18" s="94"/>
    </row>
    <row r="19" spans="2:16" x14ac:dyDescent="0.25">
      <c r="B19" s="93"/>
      <c r="C19" s="119" t="s">
        <v>58</v>
      </c>
      <c r="D19" s="119"/>
      <c r="E19" s="119"/>
      <c r="F19" s="119"/>
      <c r="G19" s="119"/>
      <c r="H19" s="119"/>
      <c r="I19" s="119"/>
      <c r="J19" s="119"/>
      <c r="K19" s="119"/>
      <c r="L19" s="119"/>
      <c r="M19" s="119"/>
      <c r="N19" s="119"/>
      <c r="P19" s="94"/>
    </row>
    <row r="20" spans="2:16" x14ac:dyDescent="0.25">
      <c r="B20" s="93"/>
      <c r="P20" s="94"/>
    </row>
    <row r="21" spans="2:16" x14ac:dyDescent="0.25">
      <c r="B21" s="93"/>
      <c r="C21" s="177">
        <v>137</v>
      </c>
      <c r="D21" t="s">
        <v>59</v>
      </c>
      <c r="E21" s="212" t="s">
        <v>277</v>
      </c>
      <c r="F21" s="212"/>
      <c r="G21" s="212"/>
      <c r="H21" s="212"/>
      <c r="P21" s="94"/>
    </row>
    <row r="22" spans="2:16" x14ac:dyDescent="0.25">
      <c r="B22" s="93"/>
      <c r="P22" s="94"/>
    </row>
    <row r="23" spans="2:16" x14ac:dyDescent="0.25">
      <c r="B23" s="93"/>
      <c r="C23" s="119" t="s">
        <v>264</v>
      </c>
      <c r="D23" s="119"/>
      <c r="E23" s="119"/>
      <c r="F23" s="119"/>
      <c r="G23" s="119"/>
      <c r="H23" s="119"/>
      <c r="I23" s="119"/>
      <c r="J23" s="119"/>
      <c r="K23" s="119"/>
      <c r="L23" s="119"/>
      <c r="M23" s="119"/>
      <c r="N23" s="119"/>
      <c r="P23" s="94"/>
    </row>
    <row r="24" spans="2:16" x14ac:dyDescent="0.25">
      <c r="B24" s="93"/>
      <c r="P24" s="94"/>
    </row>
    <row r="25" spans="2:16" ht="12.75" customHeight="1" x14ac:dyDescent="0.25">
      <c r="B25" s="93"/>
      <c r="C25" s="141" t="s">
        <v>118</v>
      </c>
      <c r="D25" s="313" t="s">
        <v>443</v>
      </c>
      <c r="E25" s="313"/>
      <c r="F25" s="313"/>
      <c r="G25" s="313"/>
      <c r="H25" s="356" t="s">
        <v>276</v>
      </c>
      <c r="I25" s="356"/>
      <c r="J25" s="356"/>
      <c r="K25" s="356"/>
      <c r="P25" s="94"/>
    </row>
    <row r="26" spans="2:16" x14ac:dyDescent="0.25">
      <c r="B26" s="93"/>
      <c r="C26" s="142" t="s">
        <v>118</v>
      </c>
      <c r="D26" s="322" t="str">
        <f>IF(K29=Inputs_still_required,Inputs_still_required,K29&amp;" + ("&amp;K30&amp;" × 1.5) + ("&amp;K31&amp;" × 1.5) + ("&amp;K32&amp;" × 4)")</f>
        <v>Inputs still required</v>
      </c>
      <c r="E26" s="322"/>
      <c r="F26" s="322"/>
      <c r="G26" s="322"/>
      <c r="H26" s="356"/>
      <c r="I26" s="356"/>
      <c r="J26" s="356"/>
      <c r="K26" s="356"/>
      <c r="P26" s="94"/>
    </row>
    <row r="27" spans="2:16" x14ac:dyDescent="0.25">
      <c r="B27" s="93"/>
      <c r="C27" s="144" t="s">
        <v>118</v>
      </c>
      <c r="D27" s="286" t="str">
        <f>IF(D26=Inputs_still_required,Inputs_still_required,K29+(K30*1.5)+(K31*1.5)+(K32*4))</f>
        <v>Inputs still required</v>
      </c>
      <c r="E27" s="286"/>
      <c r="F27" s="286"/>
      <c r="G27" s="286"/>
      <c r="H27" s="356"/>
      <c r="I27" s="356"/>
      <c r="J27" s="356"/>
      <c r="K27" s="356"/>
      <c r="P27" s="94"/>
    </row>
    <row r="28" spans="2:16" ht="13.8" thickBot="1" x14ac:dyDescent="0.3">
      <c r="B28" s="93"/>
      <c r="P28" s="94"/>
    </row>
    <row r="29" spans="2:16" x14ac:dyDescent="0.25">
      <c r="B29" s="93"/>
      <c r="C29" s="66" t="s">
        <v>60</v>
      </c>
      <c r="D29" s="281" t="s">
        <v>63</v>
      </c>
      <c r="E29" s="281"/>
      <c r="F29" s="281"/>
      <c r="G29" s="281"/>
      <c r="H29" s="281"/>
      <c r="I29" s="281"/>
      <c r="J29" s="281"/>
      <c r="K29" s="323" t="str">
        <f>IF('Lookup Development Size'!C2=Inputs_still_required,Inputs_still_required,VLOOKUP('Lookup Development Size'!C2,C41:L51,9,0))</f>
        <v>Inputs still required</v>
      </c>
      <c r="L29" s="323"/>
      <c r="P29" s="94"/>
    </row>
    <row r="30" spans="2:16" x14ac:dyDescent="0.25">
      <c r="B30" s="93"/>
      <c r="C30" s="65" t="s">
        <v>61</v>
      </c>
      <c r="D30" s="232" t="s">
        <v>62</v>
      </c>
      <c r="E30" s="232"/>
      <c r="F30" s="232"/>
      <c r="G30" s="232"/>
      <c r="H30" s="232"/>
      <c r="I30" s="232"/>
      <c r="J30" s="232"/>
      <c r="K30" s="324">
        <v>0</v>
      </c>
      <c r="L30" s="324"/>
      <c r="P30" s="94"/>
    </row>
    <row r="31" spans="2:16" x14ac:dyDescent="0.25">
      <c r="B31" s="93"/>
      <c r="C31" s="65" t="s">
        <v>64</v>
      </c>
      <c r="D31" s="232" t="s">
        <v>68</v>
      </c>
      <c r="E31" s="232"/>
      <c r="F31" s="232"/>
      <c r="G31" s="232"/>
      <c r="H31" s="232"/>
      <c r="I31" s="232"/>
      <c r="J31" s="232"/>
      <c r="K31" s="324">
        <v>0</v>
      </c>
      <c r="L31" s="324"/>
      <c r="P31" s="94"/>
    </row>
    <row r="32" spans="2:16" ht="13.8" thickBot="1" x14ac:dyDescent="0.3">
      <c r="B32" s="93"/>
      <c r="C32" s="67" t="s">
        <v>65</v>
      </c>
      <c r="D32" s="247" t="s">
        <v>69</v>
      </c>
      <c r="E32" s="247"/>
      <c r="F32" s="247"/>
      <c r="G32" s="247"/>
      <c r="H32" s="247"/>
      <c r="I32" s="247"/>
      <c r="J32" s="247"/>
      <c r="K32" s="325">
        <v>0</v>
      </c>
      <c r="L32" s="325"/>
      <c r="P32" s="94"/>
    </row>
    <row r="33" spans="2:17" x14ac:dyDescent="0.25">
      <c r="B33" s="93"/>
      <c r="C33" s="64"/>
      <c r="P33" s="94"/>
    </row>
    <row r="34" spans="2:17" x14ac:dyDescent="0.25">
      <c r="B34" s="93"/>
      <c r="C34" s="156" t="s">
        <v>265</v>
      </c>
      <c r="P34" s="94"/>
    </row>
    <row r="35" spans="2:17" ht="13.8" thickBot="1" x14ac:dyDescent="0.3">
      <c r="B35" s="93"/>
      <c r="P35" s="94"/>
    </row>
    <row r="36" spans="2:17" ht="12.75" customHeight="1" thickBot="1" x14ac:dyDescent="0.3">
      <c r="B36" s="93"/>
      <c r="C36" s="340" t="s">
        <v>36</v>
      </c>
      <c r="D36" s="340"/>
      <c r="E36" s="340"/>
      <c r="F36" s="341"/>
      <c r="G36" s="339" t="s">
        <v>74</v>
      </c>
      <c r="H36" s="339"/>
      <c r="I36" s="339" t="s">
        <v>48</v>
      </c>
      <c r="J36" s="339"/>
      <c r="K36" s="339" t="s">
        <v>75</v>
      </c>
      <c r="L36" s="339"/>
      <c r="N36" s="260" t="s">
        <v>270</v>
      </c>
      <c r="O36" s="260"/>
      <c r="P36" s="94"/>
    </row>
    <row r="37" spans="2:17" ht="13.5" customHeight="1" thickBot="1" x14ac:dyDescent="0.3">
      <c r="B37" s="93"/>
      <c r="C37" s="340"/>
      <c r="D37" s="340"/>
      <c r="E37" s="340"/>
      <c r="F37" s="341"/>
      <c r="G37" s="339"/>
      <c r="H37" s="339"/>
      <c r="I37" s="339"/>
      <c r="J37" s="339"/>
      <c r="K37" s="339"/>
      <c r="L37" s="339"/>
      <c r="M37" s="121"/>
      <c r="N37" s="260"/>
      <c r="O37" s="260"/>
      <c r="P37" s="94"/>
    </row>
    <row r="38" spans="2:17" ht="13.5" customHeight="1" thickBot="1" x14ac:dyDescent="0.3">
      <c r="B38" s="93"/>
      <c r="C38" s="340"/>
      <c r="D38" s="340"/>
      <c r="E38" s="340"/>
      <c r="F38" s="341"/>
      <c r="G38" s="339"/>
      <c r="H38" s="339"/>
      <c r="I38" s="339"/>
      <c r="J38" s="339"/>
      <c r="K38" s="339"/>
      <c r="L38" s="339"/>
      <c r="M38" s="121"/>
      <c r="N38" s="260"/>
      <c r="O38" s="260"/>
      <c r="P38" s="157"/>
      <c r="Q38" s="1"/>
    </row>
    <row r="39" spans="2:17" ht="13.5" customHeight="1" thickBot="1" x14ac:dyDescent="0.3">
      <c r="B39" s="93"/>
      <c r="C39" s="340" t="s">
        <v>38</v>
      </c>
      <c r="D39" s="340"/>
      <c r="E39" s="340" t="s">
        <v>10</v>
      </c>
      <c r="F39" s="341"/>
      <c r="G39" s="344"/>
      <c r="H39" s="344"/>
      <c r="I39" s="344"/>
      <c r="J39" s="344"/>
      <c r="K39" s="344"/>
      <c r="L39" s="344"/>
      <c r="M39" s="121"/>
      <c r="N39" s="260"/>
      <c r="O39" s="260"/>
      <c r="P39" s="157"/>
      <c r="Q39" s="1"/>
    </row>
    <row r="40" spans="2:17" ht="12.75" customHeight="1" x14ac:dyDescent="0.25">
      <c r="B40" s="93"/>
      <c r="C40" s="342"/>
      <c r="D40" s="342"/>
      <c r="E40" s="342"/>
      <c r="F40" s="343"/>
      <c r="G40" s="345"/>
      <c r="H40" s="345"/>
      <c r="I40" s="345"/>
      <c r="J40" s="345"/>
      <c r="K40" s="345"/>
      <c r="L40" s="345"/>
      <c r="M40" s="121"/>
      <c r="N40" s="260"/>
      <c r="O40" s="260"/>
      <c r="P40" s="157"/>
      <c r="Q40" s="1"/>
    </row>
    <row r="41" spans="2:17" x14ac:dyDescent="0.25">
      <c r="B41" s="93"/>
      <c r="C41" s="317" t="s">
        <v>49</v>
      </c>
      <c r="D41" s="317"/>
      <c r="E41" s="317" t="s">
        <v>40</v>
      </c>
      <c r="F41" s="318"/>
      <c r="G41" s="315">
        <v>1</v>
      </c>
      <c r="H41" s="315"/>
      <c r="I41" s="315">
        <v>2.5</v>
      </c>
      <c r="J41" s="315"/>
      <c r="K41" s="315">
        <f t="shared" ref="K41:K46" si="0">G41*I41</f>
        <v>2.5</v>
      </c>
      <c r="L41" s="315"/>
      <c r="M41" s="121"/>
      <c r="N41" s="260"/>
      <c r="O41" s="260"/>
      <c r="P41" s="157"/>
      <c r="Q41" s="1"/>
    </row>
    <row r="42" spans="2:17" x14ac:dyDescent="0.25">
      <c r="B42" s="93"/>
      <c r="C42" s="315" t="s">
        <v>50</v>
      </c>
      <c r="D42" s="315"/>
      <c r="E42" s="315" t="s">
        <v>37</v>
      </c>
      <c r="F42" s="319"/>
      <c r="G42" s="315">
        <v>1.5</v>
      </c>
      <c r="H42" s="315"/>
      <c r="I42" s="315">
        <v>10</v>
      </c>
      <c r="J42" s="315"/>
      <c r="K42" s="315">
        <f t="shared" si="0"/>
        <v>15</v>
      </c>
      <c r="L42" s="315"/>
      <c r="M42" s="121"/>
      <c r="N42" s="260"/>
      <c r="O42" s="260"/>
      <c r="P42" s="157"/>
      <c r="Q42" s="1"/>
    </row>
    <row r="43" spans="2:17" x14ac:dyDescent="0.25">
      <c r="B43" s="93"/>
      <c r="C43" s="315" t="s">
        <v>51</v>
      </c>
      <c r="D43" s="315"/>
      <c r="E43" s="315" t="s">
        <v>41</v>
      </c>
      <c r="F43" s="319"/>
      <c r="G43" s="315">
        <v>2</v>
      </c>
      <c r="H43" s="315"/>
      <c r="I43" s="315">
        <v>12.5</v>
      </c>
      <c r="J43" s="315"/>
      <c r="K43" s="315">
        <f t="shared" si="0"/>
        <v>25</v>
      </c>
      <c r="L43" s="315"/>
      <c r="M43" s="121"/>
      <c r="N43" s="260"/>
      <c r="O43" s="260"/>
      <c r="P43" s="157"/>
      <c r="Q43" s="1"/>
    </row>
    <row r="44" spans="2:17" x14ac:dyDescent="0.25">
      <c r="B44" s="93"/>
      <c r="C44" s="315" t="s">
        <v>52</v>
      </c>
      <c r="D44" s="315"/>
      <c r="E44" s="315" t="s">
        <v>42</v>
      </c>
      <c r="F44" s="319"/>
      <c r="G44" s="315">
        <v>3</v>
      </c>
      <c r="H44" s="315"/>
      <c r="I44" s="315">
        <v>15</v>
      </c>
      <c r="J44" s="315"/>
      <c r="K44" s="315">
        <f t="shared" si="0"/>
        <v>45</v>
      </c>
      <c r="L44" s="315"/>
      <c r="M44" s="121"/>
      <c r="N44" s="260"/>
      <c r="O44" s="260"/>
      <c r="P44" s="157"/>
      <c r="Q44" s="1"/>
    </row>
    <row r="45" spans="2:17" x14ac:dyDescent="0.25">
      <c r="B45" s="93"/>
      <c r="C45" s="315" t="s">
        <v>53</v>
      </c>
      <c r="D45" s="315"/>
      <c r="E45" s="315" t="s">
        <v>43</v>
      </c>
      <c r="F45" s="319"/>
      <c r="G45" s="315">
        <v>4</v>
      </c>
      <c r="H45" s="315"/>
      <c r="I45" s="315">
        <v>20</v>
      </c>
      <c r="J45" s="315"/>
      <c r="K45" s="315">
        <f t="shared" si="0"/>
        <v>80</v>
      </c>
      <c r="L45" s="315"/>
      <c r="M45" s="121"/>
      <c r="N45" s="260"/>
      <c r="O45" s="260"/>
      <c r="P45" s="94"/>
    </row>
    <row r="46" spans="2:17" ht="13.8" thickBot="1" x14ac:dyDescent="0.3">
      <c r="B46" s="93"/>
      <c r="C46" s="316" t="s">
        <v>54</v>
      </c>
      <c r="D46" s="316"/>
      <c r="E46" s="316" t="s">
        <v>44</v>
      </c>
      <c r="F46" s="320"/>
      <c r="G46" s="316">
        <v>5</v>
      </c>
      <c r="H46" s="316"/>
      <c r="I46" s="316">
        <v>30</v>
      </c>
      <c r="J46" s="316"/>
      <c r="K46" s="316">
        <f t="shared" si="0"/>
        <v>150</v>
      </c>
      <c r="L46" s="316"/>
      <c r="M46" s="121"/>
      <c r="N46" s="260"/>
      <c r="O46" s="260"/>
      <c r="P46" s="94"/>
    </row>
    <row r="47" spans="2:17" ht="13.8" thickBot="1" x14ac:dyDescent="0.3">
      <c r="B47" s="93"/>
      <c r="C47" s="346" t="s">
        <v>39</v>
      </c>
      <c r="D47" s="340"/>
      <c r="E47" s="340" t="s">
        <v>47</v>
      </c>
      <c r="F47" s="341"/>
      <c r="G47" s="347"/>
      <c r="H47" s="347"/>
      <c r="I47" s="347"/>
      <c r="J47" s="347"/>
      <c r="K47" s="347"/>
      <c r="L47" s="347"/>
      <c r="M47" s="121"/>
      <c r="N47" s="260"/>
      <c r="O47" s="260"/>
      <c r="P47" s="94"/>
    </row>
    <row r="48" spans="2:17" ht="12.75" customHeight="1" x14ac:dyDescent="0.25">
      <c r="B48" s="93"/>
      <c r="C48" s="342"/>
      <c r="D48" s="342"/>
      <c r="E48" s="342"/>
      <c r="F48" s="343"/>
      <c r="G48" s="317"/>
      <c r="H48" s="317"/>
      <c r="I48" s="317"/>
      <c r="J48" s="317"/>
      <c r="K48" s="317"/>
      <c r="L48" s="317"/>
      <c r="M48" s="121"/>
      <c r="N48" s="260"/>
      <c r="O48" s="260"/>
      <c r="P48" s="94"/>
    </row>
    <row r="49" spans="2:18" ht="12.75" customHeight="1" x14ac:dyDescent="0.25">
      <c r="B49" s="93"/>
      <c r="C49" s="317" t="s">
        <v>55</v>
      </c>
      <c r="D49" s="317"/>
      <c r="E49" s="317" t="s">
        <v>45</v>
      </c>
      <c r="F49" s="318"/>
      <c r="G49" s="315">
        <v>1</v>
      </c>
      <c r="H49" s="315"/>
      <c r="I49" s="315">
        <v>5</v>
      </c>
      <c r="J49" s="315"/>
      <c r="K49" s="315">
        <f t="shared" ref="K49:K51" si="1">G49*I49</f>
        <v>5</v>
      </c>
      <c r="L49" s="315"/>
      <c r="M49" s="121"/>
      <c r="N49" s="260"/>
      <c r="O49" s="260"/>
      <c r="P49" s="94"/>
      <c r="R49" s="10"/>
    </row>
    <row r="50" spans="2:18" x14ac:dyDescent="0.25">
      <c r="B50" s="93"/>
      <c r="C50" s="315" t="s">
        <v>56</v>
      </c>
      <c r="D50" s="315"/>
      <c r="E50" s="315" t="s">
        <v>261</v>
      </c>
      <c r="F50" s="319"/>
      <c r="G50" s="315">
        <v>2</v>
      </c>
      <c r="H50" s="315"/>
      <c r="I50" s="315">
        <v>10</v>
      </c>
      <c r="J50" s="315"/>
      <c r="K50" s="315">
        <f t="shared" si="1"/>
        <v>20</v>
      </c>
      <c r="L50" s="315"/>
      <c r="M50" s="121"/>
      <c r="N50" s="260"/>
      <c r="O50" s="260"/>
      <c r="P50" s="94"/>
      <c r="R50" s="10"/>
    </row>
    <row r="51" spans="2:18" ht="13.8" thickBot="1" x14ac:dyDescent="0.3">
      <c r="B51" s="93"/>
      <c r="C51" s="316" t="s">
        <v>57</v>
      </c>
      <c r="D51" s="316"/>
      <c r="E51" s="316" t="s">
        <v>46</v>
      </c>
      <c r="F51" s="320"/>
      <c r="G51" s="316">
        <v>3</v>
      </c>
      <c r="H51" s="316"/>
      <c r="I51" s="316">
        <v>15</v>
      </c>
      <c r="J51" s="316"/>
      <c r="K51" s="316">
        <f t="shared" si="1"/>
        <v>45</v>
      </c>
      <c r="L51" s="316"/>
      <c r="M51" s="121"/>
      <c r="N51" s="260"/>
      <c r="O51" s="260"/>
      <c r="P51" s="94"/>
    </row>
    <row r="52" spans="2:18" x14ac:dyDescent="0.25">
      <c r="B52" s="93"/>
      <c r="M52" s="273"/>
      <c r="N52" s="273"/>
      <c r="P52" s="94"/>
    </row>
    <row r="53" spans="2:18" x14ac:dyDescent="0.25">
      <c r="B53" s="93"/>
      <c r="C53" s="119" t="s">
        <v>267</v>
      </c>
      <c r="M53" s="273"/>
      <c r="N53" s="273"/>
      <c r="P53" s="94"/>
    </row>
    <row r="54" spans="2:18" x14ac:dyDescent="0.25">
      <c r="B54" s="93"/>
      <c r="M54" s="273"/>
      <c r="N54" s="273"/>
      <c r="P54" s="94"/>
    </row>
    <row r="55" spans="2:18" x14ac:dyDescent="0.25">
      <c r="B55" s="93"/>
      <c r="C55" s="141" t="s">
        <v>118</v>
      </c>
      <c r="D55" s="292" t="s">
        <v>268</v>
      </c>
      <c r="E55" s="292"/>
      <c r="F55" s="292"/>
      <c r="M55" s="273"/>
      <c r="N55" s="273"/>
      <c r="P55" s="94"/>
    </row>
    <row r="56" spans="2:18" x14ac:dyDescent="0.25">
      <c r="B56" s="93"/>
      <c r="C56" s="142" t="s">
        <v>118</v>
      </c>
      <c r="D56" s="294" t="str">
        <f>"the greater of 1 and ("&amp;H60&amp;" / "&amp;H62&amp;")"</f>
        <v>the greater of 1 and (1 / 1)</v>
      </c>
      <c r="E56" s="294"/>
      <c r="F56" s="294"/>
      <c r="M56" s="273"/>
      <c r="N56" s="273"/>
      <c r="P56" s="94"/>
    </row>
    <row r="57" spans="2:18" x14ac:dyDescent="0.25">
      <c r="B57" s="93"/>
      <c r="C57" s="142" t="s">
        <v>118</v>
      </c>
      <c r="D57" s="322" t="str">
        <f>"the greater of 1 and "&amp;TEXT(H60/H62,"#,##0.000")</f>
        <v>the greater of 1 and 1.000</v>
      </c>
      <c r="E57" s="322"/>
      <c r="F57" s="322"/>
      <c r="M57" s="273"/>
      <c r="N57" s="273"/>
      <c r="P57" s="94"/>
    </row>
    <row r="58" spans="2:18" x14ac:dyDescent="0.25">
      <c r="B58" s="93"/>
      <c r="C58" s="144" t="s">
        <v>118</v>
      </c>
      <c r="D58" s="321">
        <f>IF(H60/H62&gt;1,TEXT(H60/H62,"#,##0.000"),1)</f>
        <v>1</v>
      </c>
      <c r="E58" s="321"/>
      <c r="F58" s="321"/>
      <c r="M58" s="273"/>
      <c r="N58" s="273"/>
      <c r="P58" s="94"/>
    </row>
    <row r="59" spans="2:18" ht="13.8" thickBot="1" x14ac:dyDescent="0.3">
      <c r="B59" s="93"/>
      <c r="P59" s="94"/>
    </row>
    <row r="60" spans="2:18" ht="12.75" customHeight="1" x14ac:dyDescent="0.25">
      <c r="B60" s="93"/>
      <c r="C60" s="335" t="s">
        <v>66</v>
      </c>
      <c r="D60" s="336" t="s">
        <v>70</v>
      </c>
      <c r="E60" s="336"/>
      <c r="F60" s="336"/>
      <c r="G60" s="336"/>
      <c r="H60" s="333">
        <v>1</v>
      </c>
      <c r="I60" s="334" t="s">
        <v>72</v>
      </c>
      <c r="J60" s="326"/>
      <c r="K60" s="326"/>
      <c r="L60" s="260" t="s">
        <v>119</v>
      </c>
      <c r="M60" s="260"/>
      <c r="N60" s="121"/>
      <c r="P60" s="94"/>
    </row>
    <row r="61" spans="2:18" x14ac:dyDescent="0.25">
      <c r="B61" s="93"/>
      <c r="C61" s="270"/>
      <c r="D61" s="337"/>
      <c r="E61" s="337"/>
      <c r="F61" s="337"/>
      <c r="G61" s="337"/>
      <c r="H61" s="331"/>
      <c r="I61" s="329"/>
      <c r="J61" s="327"/>
      <c r="K61" s="327"/>
      <c r="L61" s="260"/>
      <c r="M61" s="260"/>
      <c r="N61" s="121"/>
      <c r="P61" s="94"/>
    </row>
    <row r="62" spans="2:18" x14ac:dyDescent="0.25">
      <c r="B62" s="93"/>
      <c r="C62" s="270" t="s">
        <v>67</v>
      </c>
      <c r="D62" s="216" t="s">
        <v>71</v>
      </c>
      <c r="E62" s="216"/>
      <c r="F62" s="216"/>
      <c r="G62" s="216"/>
      <c r="H62" s="331">
        <v>1</v>
      </c>
      <c r="I62" s="329" t="s">
        <v>72</v>
      </c>
      <c r="J62" s="327"/>
      <c r="K62" s="327"/>
      <c r="L62" s="260"/>
      <c r="M62" s="260"/>
      <c r="P62" s="94"/>
    </row>
    <row r="63" spans="2:18" ht="13.8" thickBot="1" x14ac:dyDescent="0.3">
      <c r="B63" s="93"/>
      <c r="C63" s="338"/>
      <c r="D63" s="222"/>
      <c r="E63" s="222"/>
      <c r="F63" s="222"/>
      <c r="G63" s="222"/>
      <c r="H63" s="332"/>
      <c r="I63" s="330"/>
      <c r="J63" s="328"/>
      <c r="K63" s="328"/>
      <c r="L63" s="260"/>
      <c r="M63" s="260"/>
      <c r="P63" s="94"/>
    </row>
    <row r="64" spans="2:18" x14ac:dyDescent="0.25">
      <c r="B64" s="101"/>
      <c r="C64" s="102"/>
      <c r="D64" s="102"/>
      <c r="E64" s="102"/>
      <c r="F64" s="102"/>
      <c r="G64" s="102"/>
      <c r="H64" s="102"/>
      <c r="I64" s="102"/>
      <c r="J64" s="102"/>
      <c r="K64" s="102"/>
      <c r="L64" s="102"/>
      <c r="M64" s="102"/>
      <c r="N64" s="102"/>
      <c r="O64" s="102"/>
      <c r="P64" s="103"/>
    </row>
    <row r="66" spans="3:3" x14ac:dyDescent="0.25">
      <c r="C66" s="63" t="s">
        <v>213</v>
      </c>
    </row>
  </sheetData>
  <sheetProtection algorithmName="SHA-512" hashValue="TWv3NQK9io1yr//0FKG01XpqROXo/ljjeYxl9BamLOTxccZ8qIxMX0bFBBATGHh1mwbgPH1QTxWfjJvSha+B9g==" saltValue="0fNl8AESmGKTiH9zOaHU1A==" spinCount="100000" sheet="1" selectLockedCells="1"/>
  <mergeCells count="113">
    <mergeCell ref="E7:H7"/>
    <mergeCell ref="H25:K27"/>
    <mergeCell ref="C5:N5"/>
    <mergeCell ref="D29:J29"/>
    <mergeCell ref="D30:J30"/>
    <mergeCell ref="D31:J31"/>
    <mergeCell ref="D32:J32"/>
    <mergeCell ref="M58:N58"/>
    <mergeCell ref="G43:H43"/>
    <mergeCell ref="M56:N56"/>
    <mergeCell ref="M57:N57"/>
    <mergeCell ref="M52:N52"/>
    <mergeCell ref="M53:N53"/>
    <mergeCell ref="M54:N54"/>
    <mergeCell ref="M55:N55"/>
    <mergeCell ref="C46:D46"/>
    <mergeCell ref="C49:D49"/>
    <mergeCell ref="C50:D50"/>
    <mergeCell ref="E50:F50"/>
    <mergeCell ref="I44:J44"/>
    <mergeCell ref="I46:J46"/>
    <mergeCell ref="I49:J49"/>
    <mergeCell ref="I50:J50"/>
    <mergeCell ref="C45:D45"/>
    <mergeCell ref="I11:J12"/>
    <mergeCell ref="L11:N12"/>
    <mergeCell ref="K11:K12"/>
    <mergeCell ref="I13:J14"/>
    <mergeCell ref="C11:D12"/>
    <mergeCell ref="E11:E12"/>
    <mergeCell ref="F11:G12"/>
    <mergeCell ref="E13:E14"/>
    <mergeCell ref="I42:J42"/>
    <mergeCell ref="I41:J41"/>
    <mergeCell ref="C41:D41"/>
    <mergeCell ref="C42:D42"/>
    <mergeCell ref="K41:L41"/>
    <mergeCell ref="K42:L42"/>
    <mergeCell ref="G42:H42"/>
    <mergeCell ref="G41:H41"/>
    <mergeCell ref="N36:O51"/>
    <mergeCell ref="L13:N14"/>
    <mergeCell ref="K13:K14"/>
    <mergeCell ref="L15:N15"/>
    <mergeCell ref="I43:J43"/>
    <mergeCell ref="E21:H21"/>
    <mergeCell ref="I45:J45"/>
    <mergeCell ref="G44:H44"/>
    <mergeCell ref="C60:C61"/>
    <mergeCell ref="D60:G61"/>
    <mergeCell ref="D62:G63"/>
    <mergeCell ref="C62:C63"/>
    <mergeCell ref="G36:H38"/>
    <mergeCell ref="I36:J38"/>
    <mergeCell ref="K36:L38"/>
    <mergeCell ref="C36:F38"/>
    <mergeCell ref="C39:D40"/>
    <mergeCell ref="E39:F40"/>
    <mergeCell ref="G39:H40"/>
    <mergeCell ref="I39:J40"/>
    <mergeCell ref="K39:L40"/>
    <mergeCell ref="C47:D48"/>
    <mergeCell ref="E47:F48"/>
    <mergeCell ref="G47:H48"/>
    <mergeCell ref="I47:J48"/>
    <mergeCell ref="K47:L48"/>
    <mergeCell ref="E42:F42"/>
    <mergeCell ref="E41:F41"/>
    <mergeCell ref="E46:F46"/>
    <mergeCell ref="E45:F45"/>
    <mergeCell ref="K51:L51"/>
    <mergeCell ref="K50:L50"/>
    <mergeCell ref="J60:K61"/>
    <mergeCell ref="J62:K63"/>
    <mergeCell ref="I62:I63"/>
    <mergeCell ref="H62:H63"/>
    <mergeCell ref="L60:M63"/>
    <mergeCell ref="I51:J51"/>
    <mergeCell ref="K49:L49"/>
    <mergeCell ref="K46:L46"/>
    <mergeCell ref="H60:H61"/>
    <mergeCell ref="I60:I61"/>
    <mergeCell ref="G50:H50"/>
    <mergeCell ref="G46:H46"/>
    <mergeCell ref="G51:H51"/>
    <mergeCell ref="K43:L43"/>
    <mergeCell ref="K44:L44"/>
    <mergeCell ref="K45:L45"/>
    <mergeCell ref="D58:F58"/>
    <mergeCell ref="D26:G26"/>
    <mergeCell ref="D27:G27"/>
    <mergeCell ref="D55:F55"/>
    <mergeCell ref="D56:F56"/>
    <mergeCell ref="D57:F57"/>
    <mergeCell ref="K29:L29"/>
    <mergeCell ref="K30:L30"/>
    <mergeCell ref="K31:L31"/>
    <mergeCell ref="K32:L32"/>
    <mergeCell ref="F15:G15"/>
    <mergeCell ref="C13:D13"/>
    <mergeCell ref="C14:D14"/>
    <mergeCell ref="C15:D15"/>
    <mergeCell ref="D25:G25"/>
    <mergeCell ref="F13:G14"/>
    <mergeCell ref="C43:D43"/>
    <mergeCell ref="C44:D44"/>
    <mergeCell ref="C51:D51"/>
    <mergeCell ref="E49:F49"/>
    <mergeCell ref="E43:F43"/>
    <mergeCell ref="E51:F51"/>
    <mergeCell ref="E44:F44"/>
    <mergeCell ref="G45:H45"/>
    <mergeCell ref="G49:H49"/>
  </mergeCells>
  <dataValidations count="5">
    <dataValidation type="decimal" operator="greaterThanOrEqual" allowBlank="1" showInputMessage="1" showErrorMessage="1" error="Must be a number, 0 or greater" sqref="C21" xr:uid="{00000000-0002-0000-0E00-000000000000}">
      <formula1>0</formula1>
    </dataValidation>
    <dataValidation type="whole" operator="greaterThanOrEqual" allowBlank="1" showInputMessage="1" showErrorMessage="1" error="Number of obligations must be a number, 0 or greater" sqref="K30:K31" xr:uid="{00000000-0002-0000-0E00-000001000000}">
      <formula1>0</formula1>
    </dataValidation>
    <dataValidation type="whole" operator="greaterThanOrEqual" allowBlank="1" showInputMessage="1" showErrorMessage="1" error="Number of demand notices must be a number, 0 or greater" sqref="K32:K34" xr:uid="{00000000-0002-0000-0E00-000002000000}">
      <formula1>0</formula1>
    </dataValidation>
    <dataValidation type="whole" operator="greaterThanOrEqual" showInputMessage="1" showErrorMessage="1" error="BCIS Index must be a whole number greater than 0" sqref="H60:H63" xr:uid="{74010D5B-6643-4286-92ED-B09DB838CA97}">
      <formula1>1</formula1>
    </dataValidation>
    <dataValidation operator="greaterThanOrEqual" showInputMessage="1" showErrorMessage="1" error="Must be a date" sqref="J60:K63" xr:uid="{83EC2444-6FF8-46DC-833E-76F89117DC7D}"/>
  </dataValidations>
  <hyperlinks>
    <hyperlink ref="E21" r:id="rId1" display="Set annually by Wandsworth Council. In 2017/18 it was £113 per hour." xr:uid="{00000000-0004-0000-0E00-000000000000}"/>
  </hyperlinks>
  <pageMargins left="0.39370078740157483" right="0.39370078740157483" top="0.39370078740157483" bottom="0.39370078740157483" header="0.19685039370078741" footer="0.19685039370078741"/>
  <pageSetup paperSize="9" orientation="landscape" r:id="rId2"/>
  <headerFooter>
    <oddHeader>&amp;L&amp;"Calibri"&amp;10&amp;K000000Official&amp;1#_x000D_&amp;"Calibri"&amp;11&amp;K000000&amp;9&amp;F</oddHeader>
    <oddFooter>&amp;R&amp;9Page &amp;P of &amp;N</oddFooter>
  </headerFooter>
  <rowBreaks count="1" manualBreakCount="1">
    <brk id="33" min="1" max="15" man="1"/>
  </rowBreaks>
  <extLst>
    <ext xmlns:x14="http://schemas.microsoft.com/office/spreadsheetml/2009/9/main" uri="{78C0D931-6437-407d-A8EE-F0AAD7539E65}">
      <x14:conditionalFormattings>
        <x14:conditionalFormatting xmlns:xm="http://schemas.microsoft.com/office/excel/2006/main">
          <x14:cfRule type="expression" priority="1" id="{5E15E396-C2EC-4586-9720-A01ABDE891E0}">
            <xm:f>$C41='Lookup Development Size'!$C$2</xm:f>
            <x14:dxf>
              <font>
                <b val="0"/>
                <i val="0"/>
                <color theme="0"/>
              </font>
              <fill>
                <patternFill>
                  <bgColor theme="0" tint="-0.499984740745262"/>
                </patternFill>
              </fill>
            </x14:dxf>
          </x14:cfRule>
          <xm:sqref>C41:L46 C49:L51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Q51"/>
  <sheetViews>
    <sheetView workbookViewId="0">
      <selection activeCell="I25" sqref="I25:J25"/>
    </sheetView>
  </sheetViews>
  <sheetFormatPr defaultRowHeight="13.2" x14ac:dyDescent="0.25"/>
  <cols>
    <col min="1" max="2" width="2.6640625" customWidth="1"/>
    <col min="3" max="3" width="9.109375"/>
    <col min="9" max="10" width="9.109375" style="69"/>
    <col min="17" max="17" width="2.6640625" customWidth="1"/>
  </cols>
  <sheetData>
    <row r="2" spans="2:17" x14ac:dyDescent="0.25">
      <c r="B2" s="90"/>
      <c r="C2" s="91"/>
      <c r="D2" s="91"/>
      <c r="E2" s="91"/>
      <c r="F2" s="91"/>
      <c r="G2" s="91"/>
      <c r="H2" s="91"/>
      <c r="I2" s="158"/>
      <c r="J2" s="158"/>
      <c r="K2" s="91"/>
      <c r="L2" s="91"/>
      <c r="M2" s="91"/>
      <c r="N2" s="91"/>
      <c r="O2" s="91"/>
      <c r="P2" s="91"/>
      <c r="Q2" s="92"/>
    </row>
    <row r="3" spans="2:17" ht="19.2" thickBot="1" x14ac:dyDescent="0.35">
      <c r="B3" s="95"/>
      <c r="C3" s="275" t="s">
        <v>283</v>
      </c>
      <c r="D3" s="275"/>
      <c r="E3" s="275"/>
      <c r="F3" s="275"/>
      <c r="G3" s="96"/>
      <c r="H3" s="96"/>
      <c r="I3" s="159"/>
      <c r="J3" s="159"/>
      <c r="K3" s="96"/>
      <c r="L3" s="96"/>
      <c r="M3" s="96"/>
      <c r="N3" s="96"/>
      <c r="O3" s="96"/>
      <c r="P3" s="96"/>
      <c r="Q3" s="97"/>
    </row>
    <row r="4" spans="2:17" ht="14.4" thickTop="1" thickBot="1" x14ac:dyDescent="0.3">
      <c r="B4" s="93"/>
      <c r="Q4" s="94"/>
    </row>
    <row r="5" spans="2:17" ht="12.75" customHeight="1" thickTop="1" thickBot="1" x14ac:dyDescent="0.3">
      <c r="B5" s="93"/>
      <c r="C5" s="396" t="s">
        <v>78</v>
      </c>
      <c r="D5" s="396"/>
      <c r="E5" s="396"/>
      <c r="F5" s="396"/>
      <c r="G5" s="396"/>
      <c r="H5" s="396"/>
      <c r="I5" s="374" t="s">
        <v>101</v>
      </c>
      <c r="J5" s="375"/>
      <c r="K5" s="399" t="s">
        <v>122</v>
      </c>
      <c r="L5" s="399"/>
      <c r="M5" s="399"/>
      <c r="N5" s="399"/>
      <c r="O5" s="399"/>
      <c r="P5" s="399"/>
      <c r="Q5" s="94"/>
    </row>
    <row r="6" spans="2:17" ht="13.8" thickBot="1" x14ac:dyDescent="0.3">
      <c r="B6" s="93"/>
      <c r="C6" s="397"/>
      <c r="D6" s="397"/>
      <c r="E6" s="397"/>
      <c r="F6" s="397"/>
      <c r="G6" s="397"/>
      <c r="H6" s="397"/>
      <c r="I6" s="376"/>
      <c r="J6" s="377"/>
      <c r="K6" s="400"/>
      <c r="L6" s="400"/>
      <c r="M6" s="400"/>
      <c r="N6" s="400"/>
      <c r="O6" s="400"/>
      <c r="P6" s="400"/>
      <c r="Q6" s="94"/>
    </row>
    <row r="7" spans="2:17" ht="13.8" thickTop="1" x14ac:dyDescent="0.25">
      <c r="B7" s="93"/>
      <c r="C7" s="189">
        <v>1</v>
      </c>
      <c r="D7" s="271" t="s">
        <v>82</v>
      </c>
      <c r="E7" s="271"/>
      <c r="F7" s="271"/>
      <c r="G7" s="271"/>
      <c r="H7" s="271"/>
      <c r="I7" s="407" t="s">
        <v>97</v>
      </c>
      <c r="J7" s="408"/>
      <c r="K7" s="401" t="str">
        <f>No_requirement_in_document</f>
        <v>-</v>
      </c>
      <c r="L7" s="402"/>
      <c r="M7" s="402"/>
      <c r="N7" s="402"/>
      <c r="O7" s="402"/>
      <c r="P7" s="402"/>
      <c r="Q7" s="94"/>
    </row>
    <row r="8" spans="2:17" ht="12.75" customHeight="1" x14ac:dyDescent="0.25">
      <c r="B8" s="93"/>
      <c r="C8" s="79" t="s">
        <v>346</v>
      </c>
      <c r="D8" s="411" t="s">
        <v>85</v>
      </c>
      <c r="E8" s="411"/>
      <c r="F8" s="411"/>
      <c r="G8" s="411"/>
      <c r="H8" s="411"/>
      <c r="I8" s="405" t="s">
        <v>342</v>
      </c>
      <c r="J8" s="406"/>
      <c r="K8" s="385" t="str">
        <f>Not_included_in_summary</f>
        <v>Refer to the Supplementary Planning Document</v>
      </c>
      <c r="L8" s="385"/>
      <c r="M8" s="385"/>
      <c r="N8" s="385"/>
      <c r="O8" s="385"/>
      <c r="P8" s="385"/>
      <c r="Q8" s="94"/>
    </row>
    <row r="9" spans="2:17" ht="12.75" customHeight="1" thickBot="1" x14ac:dyDescent="0.3">
      <c r="B9" s="93"/>
      <c r="C9" s="80" t="s">
        <v>423</v>
      </c>
      <c r="D9" s="412" t="s">
        <v>86</v>
      </c>
      <c r="E9" s="412"/>
      <c r="F9" s="412"/>
      <c r="G9" s="412"/>
      <c r="H9" s="412"/>
      <c r="I9" s="409" t="s">
        <v>342</v>
      </c>
      <c r="J9" s="410"/>
      <c r="K9" s="393" t="str">
        <f>Not_included_in_summary</f>
        <v>Refer to the Supplementary Planning Document</v>
      </c>
      <c r="L9" s="393"/>
      <c r="M9" s="393"/>
      <c r="N9" s="393"/>
      <c r="O9" s="393"/>
      <c r="P9" s="393"/>
      <c r="Q9" s="94"/>
    </row>
    <row r="10" spans="2:17" ht="12.75" customHeight="1" thickBot="1" x14ac:dyDescent="0.3">
      <c r="B10" s="93"/>
      <c r="C10" s="160">
        <v>2</v>
      </c>
      <c r="D10" s="413" t="s">
        <v>83</v>
      </c>
      <c r="E10" s="413"/>
      <c r="F10" s="413"/>
      <c r="G10" s="413"/>
      <c r="H10" s="413"/>
      <c r="I10" s="370" t="s">
        <v>97</v>
      </c>
      <c r="J10" s="371"/>
      <c r="K10" s="391" t="str">
        <f>No_requirement_in_document</f>
        <v>-</v>
      </c>
      <c r="L10" s="391"/>
      <c r="M10" s="391"/>
      <c r="N10" s="391"/>
      <c r="O10" s="391"/>
      <c r="P10" s="391"/>
      <c r="Q10" s="94"/>
    </row>
    <row r="11" spans="2:17" ht="12.75" customHeight="1" thickBot="1" x14ac:dyDescent="0.3">
      <c r="B11" s="93"/>
      <c r="C11" s="160">
        <v>3</v>
      </c>
      <c r="D11" s="413" t="s">
        <v>84</v>
      </c>
      <c r="E11" s="413"/>
      <c r="F11" s="413"/>
      <c r="G11" s="413"/>
      <c r="H11" s="413"/>
      <c r="I11" s="370" t="s">
        <v>97</v>
      </c>
      <c r="J11" s="371"/>
      <c r="K11" s="391" t="str">
        <f>No_requirement_in_document</f>
        <v>-</v>
      </c>
      <c r="L11" s="391"/>
      <c r="M11" s="391"/>
      <c r="N11" s="391"/>
      <c r="O11" s="391"/>
      <c r="P11" s="391"/>
      <c r="Q11" s="94"/>
    </row>
    <row r="12" spans="2:17" ht="12.75" customHeight="1" x14ac:dyDescent="0.25">
      <c r="B12" s="93"/>
      <c r="C12" s="81">
        <v>4</v>
      </c>
      <c r="D12" s="414" t="s">
        <v>79</v>
      </c>
      <c r="E12" s="414"/>
      <c r="F12" s="414"/>
      <c r="G12" s="414"/>
      <c r="H12" s="414"/>
      <c r="I12" s="382" t="s">
        <v>97</v>
      </c>
      <c r="J12" s="383"/>
      <c r="K12" s="390" t="str">
        <f>No_requirement_in_document</f>
        <v>-</v>
      </c>
      <c r="L12" s="390"/>
      <c r="M12" s="390"/>
      <c r="N12" s="390"/>
      <c r="O12" s="390"/>
      <c r="P12" s="390"/>
      <c r="Q12" s="94"/>
    </row>
    <row r="13" spans="2:17" ht="12.75" customHeight="1" x14ac:dyDescent="0.25">
      <c r="B13" s="93"/>
      <c r="C13" s="79" t="s">
        <v>348</v>
      </c>
      <c r="D13" s="361" t="s">
        <v>35</v>
      </c>
      <c r="E13" s="361"/>
      <c r="F13" s="361"/>
      <c r="G13" s="361"/>
      <c r="H13" s="361"/>
      <c r="I13" s="378" t="str">
        <f>K!C7</f>
        <v>Yes</v>
      </c>
      <c r="J13" s="379"/>
      <c r="K13" s="386" t="str">
        <f>K!F15</f>
        <v>Inputs still required</v>
      </c>
      <c r="L13" s="386"/>
      <c r="M13" s="386"/>
      <c r="N13" s="386"/>
      <c r="O13" s="386"/>
      <c r="P13" s="386"/>
      <c r="Q13" s="94"/>
    </row>
    <row r="14" spans="2:17" ht="12.75" customHeight="1" thickBot="1" x14ac:dyDescent="0.3">
      <c r="B14" s="93"/>
      <c r="C14" s="80" t="s">
        <v>424</v>
      </c>
      <c r="D14" s="384" t="s">
        <v>80</v>
      </c>
      <c r="E14" s="384"/>
      <c r="F14" s="384"/>
      <c r="G14" s="384"/>
      <c r="H14" s="384"/>
      <c r="I14" s="403" t="s">
        <v>342</v>
      </c>
      <c r="J14" s="404"/>
      <c r="K14" s="393" t="str">
        <f>Not_included_in_summary</f>
        <v>Refer to the Supplementary Planning Document</v>
      </c>
      <c r="L14" s="393"/>
      <c r="M14" s="393"/>
      <c r="N14" s="393"/>
      <c r="O14" s="393"/>
      <c r="P14" s="393"/>
      <c r="Q14" s="94"/>
    </row>
    <row r="15" spans="2:17" ht="25.5" customHeight="1" thickBot="1" x14ac:dyDescent="0.3">
      <c r="B15" s="93"/>
      <c r="C15" s="160">
        <v>5</v>
      </c>
      <c r="D15" s="367" t="s">
        <v>0</v>
      </c>
      <c r="E15" s="367"/>
      <c r="F15" s="367"/>
      <c r="G15" s="367"/>
      <c r="H15" s="367"/>
      <c r="I15" s="370" t="str">
        <f>A!C15</f>
        <v>No</v>
      </c>
      <c r="J15" s="371"/>
      <c r="K15" s="391" t="str">
        <f>IF(A!C20=No_requirement,No_requirement_in_document,A!C20)</f>
        <v>-</v>
      </c>
      <c r="L15" s="391"/>
      <c r="M15" s="391"/>
      <c r="N15" s="391"/>
      <c r="O15" s="391"/>
      <c r="P15" s="391"/>
      <c r="Q15" s="94"/>
    </row>
    <row r="16" spans="2:17" ht="25.5" customHeight="1" x14ac:dyDescent="0.25">
      <c r="B16" s="93"/>
      <c r="C16" s="81">
        <v>6</v>
      </c>
      <c r="D16" s="359" t="s">
        <v>350</v>
      </c>
      <c r="E16" s="359"/>
      <c r="F16" s="359"/>
      <c r="G16" s="359"/>
      <c r="H16" s="359"/>
      <c r="I16" s="382" t="s">
        <v>97</v>
      </c>
      <c r="J16" s="383"/>
      <c r="K16" s="390" t="str">
        <f>No_requirement_in_document</f>
        <v>-</v>
      </c>
      <c r="L16" s="390"/>
      <c r="M16" s="390"/>
      <c r="N16" s="390"/>
      <c r="O16" s="390"/>
      <c r="P16" s="390"/>
      <c r="Q16" s="94"/>
    </row>
    <row r="17" spans="2:17" ht="25.5" customHeight="1" x14ac:dyDescent="0.25">
      <c r="B17" s="93"/>
      <c r="C17" s="190" t="s">
        <v>407</v>
      </c>
      <c r="D17" s="361" t="s">
        <v>405</v>
      </c>
      <c r="E17" s="361"/>
      <c r="F17" s="361"/>
      <c r="G17" s="361"/>
      <c r="H17" s="361"/>
      <c r="I17" s="378" t="str">
        <f>B!C7</f>
        <v>No</v>
      </c>
      <c r="J17" s="379"/>
      <c r="K17" s="387" t="str">
        <f>No_requirement_in_document</f>
        <v>-</v>
      </c>
      <c r="L17" s="387"/>
      <c r="M17" s="387"/>
      <c r="N17" s="387"/>
      <c r="O17" s="387"/>
      <c r="P17" s="387"/>
      <c r="Q17" s="94"/>
    </row>
    <row r="18" spans="2:17" ht="12.75" customHeight="1" x14ac:dyDescent="0.25">
      <c r="B18" s="93"/>
      <c r="D18" s="362" t="s">
        <v>406</v>
      </c>
      <c r="E18" s="362"/>
      <c r="F18" s="362"/>
      <c r="G18" s="362"/>
      <c r="H18" s="362"/>
      <c r="I18" s="378" t="str">
        <f>I17</f>
        <v>No</v>
      </c>
      <c r="J18" s="379"/>
      <c r="K18" s="386" t="str">
        <f>IF(I17="No",No_requirement_in_document,B!G41)</f>
        <v>-</v>
      </c>
      <c r="L18" s="386"/>
      <c r="M18" s="386"/>
      <c r="N18" s="386"/>
      <c r="O18" s="386"/>
      <c r="P18" s="386"/>
      <c r="Q18" s="94"/>
    </row>
    <row r="19" spans="2:17" ht="12.75" customHeight="1" x14ac:dyDescent="0.25">
      <c r="B19" s="93"/>
      <c r="C19" s="199" t="s">
        <v>88</v>
      </c>
      <c r="D19" s="357" t="s">
        <v>351</v>
      </c>
      <c r="E19" s="357"/>
      <c r="F19" s="357"/>
      <c r="G19" s="357"/>
      <c r="H19" s="369"/>
      <c r="I19" s="378" t="str">
        <f>'C'!C7</f>
        <v>No</v>
      </c>
      <c r="J19" s="379"/>
      <c r="K19" s="395" t="str">
        <f>No_requirement_in_document</f>
        <v>-</v>
      </c>
      <c r="L19" s="386"/>
      <c r="M19" s="386"/>
      <c r="N19" s="386"/>
      <c r="O19" s="386"/>
      <c r="P19" s="386"/>
      <c r="Q19" s="94"/>
    </row>
    <row r="20" spans="2:17" ht="12.75" customHeight="1" x14ac:dyDescent="0.25">
      <c r="B20" s="93"/>
      <c r="C20" s="190"/>
      <c r="D20" s="368" t="s">
        <v>411</v>
      </c>
      <c r="E20" s="368"/>
      <c r="F20" s="368"/>
      <c r="G20" s="368"/>
      <c r="H20" s="368"/>
      <c r="I20" s="378" t="str">
        <f>'C'!C7</f>
        <v>No</v>
      </c>
      <c r="J20" s="379"/>
      <c r="K20" s="386" t="str">
        <f>IF(I20="No",No_requirement_in_document,'C'!F17)</f>
        <v>-</v>
      </c>
      <c r="L20" s="386"/>
      <c r="M20" s="386"/>
      <c r="N20" s="386"/>
      <c r="O20" s="386"/>
      <c r="P20" s="386"/>
      <c r="Q20" s="94"/>
    </row>
    <row r="21" spans="2:17" ht="25.5" customHeight="1" x14ac:dyDescent="0.25">
      <c r="B21" s="93"/>
      <c r="C21" s="191" t="s">
        <v>410</v>
      </c>
      <c r="D21" s="361" t="s">
        <v>352</v>
      </c>
      <c r="E21" s="361"/>
      <c r="F21" s="361"/>
      <c r="G21" s="361"/>
      <c r="H21" s="361"/>
      <c r="I21" s="378" t="str">
        <f>'C'!C24</f>
        <v>No</v>
      </c>
      <c r="J21" s="379"/>
      <c r="K21" s="392" t="str">
        <f>IF(I21="No",No_requirement_in_document,'C'!C28)</f>
        <v>-</v>
      </c>
      <c r="L21" s="387"/>
      <c r="M21" s="387"/>
      <c r="N21" s="387"/>
      <c r="O21" s="387"/>
      <c r="P21" s="387"/>
      <c r="Q21" s="94"/>
    </row>
    <row r="22" spans="2:17" ht="12.75" customHeight="1" x14ac:dyDescent="0.25">
      <c r="B22" s="93"/>
      <c r="C22" s="190" t="s">
        <v>413</v>
      </c>
      <c r="D22" s="361" t="s">
        <v>87</v>
      </c>
      <c r="E22" s="361"/>
      <c r="F22" s="361"/>
      <c r="G22" s="361"/>
      <c r="H22" s="361"/>
      <c r="I22" s="378" t="str">
        <f>D!C7</f>
        <v>No</v>
      </c>
      <c r="J22" s="379"/>
      <c r="K22" s="385" t="str">
        <f>No_requirement_in_document</f>
        <v>-</v>
      </c>
      <c r="L22" s="385"/>
      <c r="M22" s="385"/>
      <c r="N22" s="385"/>
      <c r="O22" s="385"/>
      <c r="P22" s="385"/>
      <c r="Q22" s="94"/>
    </row>
    <row r="23" spans="2:17" ht="25.5" customHeight="1" x14ac:dyDescent="0.25">
      <c r="B23" s="93"/>
      <c r="D23" s="362" t="s">
        <v>123</v>
      </c>
      <c r="E23" s="362"/>
      <c r="F23" s="362"/>
      <c r="G23" s="362"/>
      <c r="H23" s="362"/>
      <c r="I23" s="378" t="str">
        <f>I22</f>
        <v>No</v>
      </c>
      <c r="J23" s="379"/>
      <c r="K23" s="392" t="str">
        <f>IF(I22="No",No_requirement_in_document,D!E9)</f>
        <v>-</v>
      </c>
      <c r="L23" s="387"/>
      <c r="M23" s="387"/>
      <c r="N23" s="387"/>
      <c r="O23" s="387"/>
      <c r="P23" s="387"/>
      <c r="Q23" s="94"/>
    </row>
    <row r="24" spans="2:17" x14ac:dyDescent="0.25">
      <c r="B24" s="93"/>
      <c r="D24" s="362" t="s">
        <v>291</v>
      </c>
      <c r="E24" s="362"/>
      <c r="F24" s="362"/>
      <c r="G24" s="362"/>
      <c r="H24" s="364"/>
      <c r="I24" s="378" t="str">
        <f>IF(I22="No","No",IF(D!H19="","No","Yes"))</f>
        <v>No</v>
      </c>
      <c r="J24" s="379"/>
      <c r="K24" s="394" t="str">
        <f>IF(D!H19="",No_requirement_in_document,IF(OR(D!I21="Yes",ISBLANK(D!I21)),TEXT(D!H19,"#,##0")&amp;"m²",No_requirement_in_document))</f>
        <v>-</v>
      </c>
      <c r="L24" s="388"/>
      <c r="M24" s="388"/>
      <c r="N24" s="388"/>
      <c r="O24" s="388"/>
      <c r="P24" s="388"/>
      <c r="Q24" s="94"/>
    </row>
    <row r="25" spans="2:17" ht="12.75" customHeight="1" thickBot="1" x14ac:dyDescent="0.3">
      <c r="B25" s="93"/>
      <c r="D25" s="363" t="s">
        <v>296</v>
      </c>
      <c r="E25" s="363"/>
      <c r="F25" s="363"/>
      <c r="G25" s="363"/>
      <c r="H25" s="363"/>
      <c r="I25" s="403" t="str">
        <f>IF(I22="No",I22,D!C27)</f>
        <v>No</v>
      </c>
      <c r="J25" s="404"/>
      <c r="K25" s="393" t="str">
        <f>IF(OR(I22="No",D!C27="No"),No_requirement_in_document,IF(I25=Inputs_still_required,Inputs_still_required,TEXT(D!H31,"#,##0")&amp;"m²"))</f>
        <v>-</v>
      </c>
      <c r="L25" s="393"/>
      <c r="M25" s="393"/>
      <c r="N25" s="393"/>
      <c r="O25" s="393"/>
      <c r="P25" s="393"/>
      <c r="Q25" s="94"/>
    </row>
    <row r="26" spans="2:17" ht="12.75" customHeight="1" x14ac:dyDescent="0.25">
      <c r="B26" s="93"/>
      <c r="C26" s="160">
        <v>7</v>
      </c>
      <c r="D26" s="359" t="s">
        <v>2</v>
      </c>
      <c r="E26" s="359"/>
      <c r="F26" s="359"/>
      <c r="G26" s="359"/>
      <c r="H26" s="359"/>
      <c r="I26" s="382" t="str">
        <f>E!C7</f>
        <v>No</v>
      </c>
      <c r="J26" s="383"/>
      <c r="K26" s="390" t="str">
        <f>IF(I26="No",No_requirement_in_document,IF(E!I11="Yes","Arts and culture action plan",IF(ISBLANK(E!I11),Inputs_still_required,No_requirement_in_document)))</f>
        <v>-</v>
      </c>
      <c r="L26" s="390"/>
      <c r="M26" s="390"/>
      <c r="N26" s="390"/>
      <c r="O26" s="390"/>
      <c r="P26" s="390"/>
      <c r="Q26" s="94"/>
    </row>
    <row r="27" spans="2:17" ht="12.75" customHeight="1" x14ac:dyDescent="0.25">
      <c r="B27" s="93"/>
      <c r="D27" s="365" t="s">
        <v>415</v>
      </c>
      <c r="E27" s="365"/>
      <c r="F27" s="365"/>
      <c r="G27" s="365"/>
      <c r="H27" s="366"/>
      <c r="I27" s="405" t="str">
        <f>IF(I26="No",I26,E!E15)</f>
        <v>No</v>
      </c>
      <c r="J27" s="406"/>
      <c r="K27" s="386" t="str">
        <f>IF(E!G30="",No_requirement_in_document,E!G30)</f>
        <v>-</v>
      </c>
      <c r="L27" s="386"/>
      <c r="M27" s="386"/>
      <c r="N27" s="386"/>
      <c r="O27" s="386"/>
      <c r="P27" s="386"/>
      <c r="Q27" s="94"/>
    </row>
    <row r="28" spans="2:17" ht="12.75" customHeight="1" thickBot="1" x14ac:dyDescent="0.3">
      <c r="B28" s="93"/>
      <c r="D28" s="361" t="s">
        <v>306</v>
      </c>
      <c r="E28" s="361"/>
      <c r="F28" s="361"/>
      <c r="G28" s="361"/>
      <c r="H28" s="361"/>
      <c r="I28" s="380" t="str">
        <f>IF(I26="No","No",IF(E!E15=Inputs_still_required,Inputs_still_required,IF(E!E15="No","No",IF(ISBLANK(E!H34),Inputs_still_required,E!H34))))</f>
        <v>No</v>
      </c>
      <c r="J28" s="381"/>
      <c r="K28" s="389" t="str">
        <f>IF(E!G46="",No_requirement_in_document,E!G46)</f>
        <v>-</v>
      </c>
      <c r="L28" s="389"/>
      <c r="M28" s="389"/>
      <c r="N28" s="389"/>
      <c r="O28" s="389"/>
      <c r="P28" s="389"/>
      <c r="Q28" s="94"/>
    </row>
    <row r="29" spans="2:17" ht="12.75" customHeight="1" x14ac:dyDescent="0.25">
      <c r="B29" s="93"/>
      <c r="C29" s="160">
        <v>8</v>
      </c>
      <c r="D29" s="359" t="s">
        <v>3</v>
      </c>
      <c r="E29" s="359"/>
      <c r="F29" s="359"/>
      <c r="G29" s="359"/>
      <c r="H29" s="359"/>
      <c r="I29" s="382" t="s">
        <v>97</v>
      </c>
      <c r="J29" s="383"/>
      <c r="K29" s="390" t="str">
        <f>No_requirement_in_document</f>
        <v>-</v>
      </c>
      <c r="L29" s="390"/>
      <c r="M29" s="390"/>
      <c r="N29" s="390"/>
      <c r="O29" s="390"/>
      <c r="P29" s="390"/>
      <c r="Q29" s="94"/>
    </row>
    <row r="30" spans="2:17" ht="12.75" customHeight="1" x14ac:dyDescent="0.25">
      <c r="B30" s="93"/>
      <c r="C30" s="78"/>
      <c r="D30" s="360" t="s">
        <v>259</v>
      </c>
      <c r="E30" s="360"/>
      <c r="F30" s="360"/>
      <c r="G30" s="360"/>
      <c r="H30" s="360"/>
      <c r="I30" s="378" t="str">
        <f>F!C24</f>
        <v>No</v>
      </c>
      <c r="J30" s="379"/>
      <c r="K30" s="387" t="str">
        <f>IF(I30="No",No_requirement_in_document,TEXT(F!J30,"#,##0.0")&amp; " additional permanent forms of entry")</f>
        <v>-</v>
      </c>
      <c r="L30" s="387"/>
      <c r="M30" s="387"/>
      <c r="N30" s="387"/>
      <c r="O30" s="387"/>
      <c r="P30" s="387"/>
      <c r="Q30" s="94"/>
    </row>
    <row r="31" spans="2:17" ht="12.75" customHeight="1" x14ac:dyDescent="0.25">
      <c r="B31" s="93"/>
      <c r="D31" s="361" t="s">
        <v>260</v>
      </c>
      <c r="E31" s="361"/>
      <c r="F31" s="361"/>
      <c r="G31" s="361"/>
      <c r="H31" s="361"/>
      <c r="I31" s="378" t="str">
        <f>F!C36</f>
        <v>No</v>
      </c>
      <c r="J31" s="379"/>
      <c r="K31" s="385" t="str">
        <f>IF(I31="No",No_requirement_in_document,TEXT(F!J42,"#,##0.0")&amp; " additional permanent forms of entry")</f>
        <v>-</v>
      </c>
      <c r="L31" s="385"/>
      <c r="M31" s="385"/>
      <c r="N31" s="385"/>
      <c r="O31" s="385"/>
      <c r="P31" s="385"/>
      <c r="Q31" s="94"/>
    </row>
    <row r="32" spans="2:17" ht="12.75" customHeight="1" x14ac:dyDescent="0.25">
      <c r="B32" s="93"/>
      <c r="D32" s="361" t="s">
        <v>375</v>
      </c>
      <c r="E32" s="361"/>
      <c r="F32" s="361"/>
      <c r="G32" s="361"/>
      <c r="H32" s="361"/>
      <c r="I32" s="378" t="s">
        <v>342</v>
      </c>
      <c r="J32" s="379"/>
      <c r="K32" s="385" t="s">
        <v>288</v>
      </c>
      <c r="L32" s="385"/>
      <c r="M32" s="385"/>
      <c r="N32" s="385"/>
      <c r="O32" s="385"/>
      <c r="P32" s="385"/>
      <c r="Q32" s="94"/>
    </row>
    <row r="33" spans="2:17" ht="12.75" customHeight="1" x14ac:dyDescent="0.25">
      <c r="B33" s="93"/>
      <c r="D33" s="357" t="s">
        <v>378</v>
      </c>
      <c r="E33" s="357"/>
      <c r="F33" s="357"/>
      <c r="G33" s="357"/>
      <c r="H33" s="357"/>
      <c r="I33" s="378" t="str">
        <f>F!C52</f>
        <v>No</v>
      </c>
      <c r="J33" s="379"/>
      <c r="K33" s="388" t="str">
        <f>IF(I33="No",No_requirement_in_document,"Provision of emergency services facilities")</f>
        <v>-</v>
      </c>
      <c r="L33" s="388"/>
      <c r="M33" s="388"/>
      <c r="N33" s="388"/>
      <c r="O33" s="388"/>
      <c r="P33" s="388"/>
      <c r="Q33" s="94"/>
    </row>
    <row r="34" spans="2:17" ht="12.75" customHeight="1" x14ac:dyDescent="0.25">
      <c r="B34" s="93"/>
      <c r="D34" s="357" t="s">
        <v>379</v>
      </c>
      <c r="E34" s="357"/>
      <c r="F34" s="357"/>
      <c r="G34" s="357"/>
      <c r="H34" s="357"/>
      <c r="I34" s="378" t="str">
        <f>F!C62</f>
        <v>No</v>
      </c>
      <c r="J34" s="379"/>
      <c r="K34" s="388" t="str">
        <f>IF(I34="No",No_requirement_in_document,"Provision of district ward offices")</f>
        <v>-</v>
      </c>
      <c r="L34" s="388"/>
      <c r="M34" s="388"/>
      <c r="N34" s="388"/>
      <c r="O34" s="388"/>
      <c r="P34" s="388"/>
      <c r="Q34" s="94"/>
    </row>
    <row r="35" spans="2:17" ht="12.75" customHeight="1" thickBot="1" x14ac:dyDescent="0.3">
      <c r="B35" s="93"/>
      <c r="D35" s="357" t="s">
        <v>383</v>
      </c>
      <c r="E35" s="357"/>
      <c r="F35" s="357"/>
      <c r="G35" s="357"/>
      <c r="H35" s="357"/>
      <c r="I35" s="378" t="str">
        <f>F!C72</f>
        <v>No</v>
      </c>
      <c r="J35" s="379"/>
      <c r="K35" s="385" t="str">
        <f>IF(I35="No",No_requirement_in_document,"Planning obligation required")</f>
        <v>-</v>
      </c>
      <c r="L35" s="385"/>
      <c r="M35" s="385"/>
      <c r="N35" s="385"/>
      <c r="O35" s="385"/>
      <c r="P35" s="385"/>
      <c r="Q35" s="94"/>
    </row>
    <row r="36" spans="2:17" ht="25.5" customHeight="1" thickBot="1" x14ac:dyDescent="0.3">
      <c r="B36" s="93"/>
      <c r="C36" s="160">
        <v>9</v>
      </c>
      <c r="D36" s="367" t="s">
        <v>4</v>
      </c>
      <c r="E36" s="367"/>
      <c r="F36" s="367"/>
      <c r="G36" s="367"/>
      <c r="H36" s="367"/>
      <c r="I36" s="370" t="str">
        <f>G!C7</f>
        <v>Inputs still required</v>
      </c>
      <c r="J36" s="371"/>
      <c r="K36" s="391" t="str">
        <f>IF(I36="No",No_requirement_in_document,G!C12)</f>
        <v/>
      </c>
      <c r="L36" s="391"/>
      <c r="M36" s="391"/>
      <c r="N36" s="391"/>
      <c r="O36" s="391"/>
      <c r="P36" s="391"/>
      <c r="Q36" s="94"/>
    </row>
    <row r="37" spans="2:17" ht="12.75" customHeight="1" x14ac:dyDescent="0.25">
      <c r="B37" s="93"/>
      <c r="C37" s="81">
        <v>10</v>
      </c>
      <c r="D37" s="359" t="s">
        <v>5</v>
      </c>
      <c r="E37" s="359"/>
      <c r="F37" s="359"/>
      <c r="G37" s="359"/>
      <c r="H37" s="359"/>
      <c r="I37" s="382" t="s">
        <v>97</v>
      </c>
      <c r="J37" s="383"/>
      <c r="K37" s="390" t="str">
        <f>No_requirement_in_document</f>
        <v>-</v>
      </c>
      <c r="L37" s="390"/>
      <c r="M37" s="390"/>
      <c r="N37" s="390"/>
      <c r="O37" s="390"/>
      <c r="P37" s="390"/>
      <c r="Q37" s="94"/>
    </row>
    <row r="38" spans="2:17" ht="12.75" customHeight="1" x14ac:dyDescent="0.25">
      <c r="B38" s="93"/>
      <c r="C38" s="192" t="s">
        <v>389</v>
      </c>
      <c r="D38" s="361" t="s">
        <v>89</v>
      </c>
      <c r="E38" s="361"/>
      <c r="F38" s="361"/>
      <c r="G38" s="361"/>
      <c r="H38" s="361"/>
      <c r="I38" s="378" t="str">
        <f>H!C9</f>
        <v>No</v>
      </c>
      <c r="J38" s="379"/>
      <c r="K38" s="386" t="str">
        <f>IF(I38="No",No_requirement_in_document,H!F17)</f>
        <v>-</v>
      </c>
      <c r="L38" s="386"/>
      <c r="M38" s="386"/>
      <c r="N38" s="386"/>
      <c r="O38" s="386"/>
      <c r="P38" s="386"/>
      <c r="Q38" s="94"/>
    </row>
    <row r="39" spans="2:17" ht="12.75" customHeight="1" x14ac:dyDescent="0.25">
      <c r="B39" s="93"/>
      <c r="C39" s="192" t="s">
        <v>391</v>
      </c>
      <c r="D39" s="361" t="s">
        <v>90</v>
      </c>
      <c r="E39" s="361"/>
      <c r="F39" s="361"/>
      <c r="G39" s="361"/>
      <c r="H39" s="361"/>
      <c r="I39" s="378" t="str">
        <f>IF(ISBLANK(H!K21),Inputs_still_required,H!K21)</f>
        <v>Inputs still required</v>
      </c>
      <c r="J39" s="379"/>
      <c r="K39" s="385" t="str">
        <f>IF(I39="No",No_requirement_in_document,H!C23)</f>
        <v>Inputs still required</v>
      </c>
      <c r="L39" s="385"/>
      <c r="M39" s="385"/>
      <c r="N39" s="385"/>
      <c r="O39" s="385"/>
      <c r="P39" s="385"/>
      <c r="Q39" s="94"/>
    </row>
    <row r="40" spans="2:17" ht="12.75" customHeight="1" x14ac:dyDescent="0.25">
      <c r="B40" s="93"/>
      <c r="C40" s="192" t="s">
        <v>394</v>
      </c>
      <c r="D40" s="361" t="s">
        <v>91</v>
      </c>
      <c r="E40" s="361"/>
      <c r="F40" s="361"/>
      <c r="G40" s="361"/>
      <c r="H40" s="361"/>
      <c r="I40" s="378" t="str">
        <f>IF(ISBLANK(H!M27),Inputs_still_required,H!M27)</f>
        <v>Inputs still required</v>
      </c>
      <c r="J40" s="379"/>
      <c r="K40" s="385" t="str">
        <f>IF(I40="No",No_requirement_in_document,H!C29)</f>
        <v>Inputs still required</v>
      </c>
      <c r="L40" s="385"/>
      <c r="M40" s="385"/>
      <c r="N40" s="385"/>
      <c r="O40" s="385"/>
      <c r="P40" s="385"/>
      <c r="Q40" s="94"/>
    </row>
    <row r="41" spans="2:17" ht="12.75" customHeight="1" x14ac:dyDescent="0.25">
      <c r="B41" s="93"/>
      <c r="C41" s="192" t="s">
        <v>93</v>
      </c>
      <c r="D41" s="361" t="s">
        <v>92</v>
      </c>
      <c r="E41" s="361"/>
      <c r="F41" s="361"/>
      <c r="G41" s="361"/>
      <c r="H41" s="361"/>
      <c r="I41" s="378" t="str">
        <f>IF(ISBLANK(H!J33),Inputs_still_required,H!J33)</f>
        <v>Inputs still required</v>
      </c>
      <c r="J41" s="379"/>
      <c r="K41" s="385" t="str">
        <f>IF(I41="No",No_requirement_in_document,H!C35)</f>
        <v>Inputs still required</v>
      </c>
      <c r="L41" s="385"/>
      <c r="M41" s="385"/>
      <c r="N41" s="385"/>
      <c r="O41" s="385"/>
      <c r="P41" s="385"/>
      <c r="Q41" s="94"/>
    </row>
    <row r="42" spans="2:17" ht="12.75" customHeight="1" x14ac:dyDescent="0.25">
      <c r="B42" s="93"/>
      <c r="C42" s="190" t="s">
        <v>396</v>
      </c>
      <c r="D42" s="361" t="s">
        <v>94</v>
      </c>
      <c r="E42" s="361"/>
      <c r="F42" s="361"/>
      <c r="G42" s="361"/>
      <c r="H42" s="361"/>
      <c r="I42" s="378" t="str">
        <f>I!C7</f>
        <v>No</v>
      </c>
      <c r="J42" s="379"/>
      <c r="K42" s="385" t="str">
        <f>No_requirement_in_document</f>
        <v>-</v>
      </c>
      <c r="L42" s="385"/>
      <c r="M42" s="385"/>
      <c r="N42" s="385"/>
      <c r="O42" s="385"/>
      <c r="P42" s="385"/>
      <c r="Q42" s="94"/>
    </row>
    <row r="43" spans="2:17" ht="12.75" customHeight="1" x14ac:dyDescent="0.25">
      <c r="B43" s="93"/>
      <c r="D43" s="362" t="s">
        <v>308</v>
      </c>
      <c r="E43" s="362"/>
      <c r="F43" s="362"/>
      <c r="G43" s="362"/>
      <c r="H43" s="362"/>
      <c r="I43" s="378" t="str">
        <f>IF(I42="No", "No",I!G23)</f>
        <v>No</v>
      </c>
      <c r="J43" s="379"/>
      <c r="K43" s="385" t="str">
        <f>IF(I43="No",No_requirement_in_document,I!G23)</f>
        <v>-</v>
      </c>
      <c r="L43" s="385"/>
      <c r="M43" s="385"/>
      <c r="N43" s="385"/>
      <c r="O43" s="385"/>
      <c r="P43" s="385"/>
      <c r="Q43" s="94"/>
    </row>
    <row r="44" spans="2:17" ht="12.75" customHeight="1" x14ac:dyDescent="0.25">
      <c r="B44" s="93"/>
      <c r="D44" s="362" t="s">
        <v>309</v>
      </c>
      <c r="E44" s="362"/>
      <c r="F44" s="362"/>
      <c r="G44" s="362"/>
      <c r="H44" s="362"/>
      <c r="I44" s="378" t="str">
        <f>IF(I42="No","No",I!E29)</f>
        <v>No</v>
      </c>
      <c r="J44" s="379"/>
      <c r="K44" s="386" t="str">
        <f>IF(I44="No",No_requirement_in_document,I!G36)</f>
        <v>-</v>
      </c>
      <c r="L44" s="386"/>
      <c r="M44" s="386"/>
      <c r="N44" s="386"/>
      <c r="O44" s="386"/>
      <c r="P44" s="386"/>
      <c r="Q44" s="94"/>
    </row>
    <row r="45" spans="2:17" ht="12.75" customHeight="1" thickBot="1" x14ac:dyDescent="0.3">
      <c r="B45" s="93"/>
      <c r="C45" s="193" t="s">
        <v>426</v>
      </c>
      <c r="D45" s="384" t="s">
        <v>289</v>
      </c>
      <c r="E45" s="384"/>
      <c r="F45" s="384"/>
      <c r="G45" s="384"/>
      <c r="H45" s="384"/>
      <c r="I45" s="403" t="str">
        <f>I!C42</f>
        <v>No</v>
      </c>
      <c r="J45" s="404"/>
      <c r="K45" s="393" t="str">
        <f>IF(I45="No",No_requirement_in_document,I!C46)</f>
        <v>-</v>
      </c>
      <c r="L45" s="393"/>
      <c r="M45" s="393"/>
      <c r="N45" s="393"/>
      <c r="O45" s="393"/>
      <c r="P45" s="393"/>
      <c r="Q45" s="94"/>
    </row>
    <row r="46" spans="2:17" ht="12.75" customHeight="1" thickBot="1" x14ac:dyDescent="0.3">
      <c r="B46" s="93"/>
      <c r="C46" s="160">
        <v>11</v>
      </c>
      <c r="D46" s="367" t="s">
        <v>6</v>
      </c>
      <c r="E46" s="367"/>
      <c r="F46" s="367"/>
      <c r="G46" s="367"/>
      <c r="H46" s="367"/>
      <c r="I46" s="370" t="s">
        <v>342</v>
      </c>
      <c r="J46" s="371"/>
      <c r="K46" s="391" t="str">
        <f>Not_included_in_summary</f>
        <v>Refer to the Supplementary Planning Document</v>
      </c>
      <c r="L46" s="391"/>
      <c r="M46" s="391"/>
      <c r="N46" s="391"/>
      <c r="O46" s="391"/>
      <c r="P46" s="391"/>
      <c r="Q46" s="94"/>
    </row>
    <row r="47" spans="2:17" ht="12.75" customHeight="1" thickBot="1" x14ac:dyDescent="0.3">
      <c r="B47" s="93"/>
      <c r="C47" s="160">
        <v>12</v>
      </c>
      <c r="D47" s="367" t="s">
        <v>7</v>
      </c>
      <c r="E47" s="367"/>
      <c r="F47" s="367"/>
      <c r="G47" s="367"/>
      <c r="H47" s="367"/>
      <c r="I47" s="370" t="str">
        <f>J!G7</f>
        <v>Inputs still required</v>
      </c>
      <c r="J47" s="371"/>
      <c r="K47" s="391" t="str">
        <f>IF(I47="Yes","Contribution required",No_requirement_in_document)</f>
        <v>-</v>
      </c>
      <c r="L47" s="391"/>
      <c r="M47" s="391"/>
      <c r="N47" s="391"/>
      <c r="O47" s="391"/>
      <c r="P47" s="391"/>
      <c r="Q47" s="94"/>
    </row>
    <row r="48" spans="2:17" ht="12.75" customHeight="1" thickBot="1" x14ac:dyDescent="0.3">
      <c r="B48" s="93"/>
      <c r="C48" s="82">
        <v>13</v>
      </c>
      <c r="D48" s="358" t="s">
        <v>8</v>
      </c>
      <c r="E48" s="358"/>
      <c r="F48" s="358"/>
      <c r="G48" s="358"/>
      <c r="H48" s="358"/>
      <c r="I48" s="372" t="str">
        <f>J!F14</f>
        <v>Inputs still required</v>
      </c>
      <c r="J48" s="373"/>
      <c r="K48" s="398" t="str">
        <f>IF(I48="Yes","Contribution required",No_requirement_in_document)</f>
        <v>-</v>
      </c>
      <c r="L48" s="398"/>
      <c r="M48" s="398"/>
      <c r="N48" s="398"/>
      <c r="O48" s="398"/>
      <c r="P48" s="398"/>
      <c r="Q48" s="94"/>
    </row>
    <row r="49" spans="2:17" ht="13.8" thickTop="1" x14ac:dyDescent="0.25">
      <c r="B49" s="101"/>
      <c r="C49" s="102"/>
      <c r="D49" s="102"/>
      <c r="E49" s="102"/>
      <c r="F49" s="102"/>
      <c r="G49" s="102"/>
      <c r="H49" s="102"/>
      <c r="I49" s="161"/>
      <c r="J49" s="161"/>
      <c r="K49" s="102"/>
      <c r="L49" s="102"/>
      <c r="M49" s="102"/>
      <c r="N49" s="102"/>
      <c r="O49" s="102"/>
      <c r="P49" s="102"/>
      <c r="Q49" s="103"/>
    </row>
    <row r="51" spans="2:17" x14ac:dyDescent="0.25">
      <c r="C51" s="63" t="s">
        <v>213</v>
      </c>
    </row>
  </sheetData>
  <sheetProtection algorithmName="SHA-512" hashValue="AfNmlTp6WnlVvqBm/31wn2Znvtmu9vRdR6u2b9070gd3We+GJBP5mTPx21ae7L9Xx3LWJQr01gJBbonYscsHjw==" saltValue="ephaKOqV3YFQWJTjWmF+Jg==" spinCount="100000" sheet="1" selectLockedCells="1"/>
  <mergeCells count="130">
    <mergeCell ref="I7:J7"/>
    <mergeCell ref="I8:J8"/>
    <mergeCell ref="I9:J9"/>
    <mergeCell ref="I10:J10"/>
    <mergeCell ref="I11:J11"/>
    <mergeCell ref="I12:J12"/>
    <mergeCell ref="I14:J14"/>
    <mergeCell ref="I16:J16"/>
    <mergeCell ref="D18:H18"/>
    <mergeCell ref="D16:H16"/>
    <mergeCell ref="D7:H7"/>
    <mergeCell ref="D8:H8"/>
    <mergeCell ref="D9:H9"/>
    <mergeCell ref="D10:H10"/>
    <mergeCell ref="D11:H11"/>
    <mergeCell ref="D12:H12"/>
    <mergeCell ref="D14:H14"/>
    <mergeCell ref="I21:J21"/>
    <mergeCell ref="I22:J22"/>
    <mergeCell ref="I13:J13"/>
    <mergeCell ref="I15:J15"/>
    <mergeCell ref="I18:J18"/>
    <mergeCell ref="I17:J17"/>
    <mergeCell ref="I44:J44"/>
    <mergeCell ref="I45:J45"/>
    <mergeCell ref="I35:J35"/>
    <mergeCell ref="I24:J24"/>
    <mergeCell ref="I33:J33"/>
    <mergeCell ref="I26:J26"/>
    <mergeCell ref="I27:J27"/>
    <mergeCell ref="I23:J23"/>
    <mergeCell ref="I25:J25"/>
    <mergeCell ref="I19:J19"/>
    <mergeCell ref="I36:J36"/>
    <mergeCell ref="I37:J37"/>
    <mergeCell ref="I34:J34"/>
    <mergeCell ref="C5:H6"/>
    <mergeCell ref="C3:F3"/>
    <mergeCell ref="K44:P44"/>
    <mergeCell ref="K45:P45"/>
    <mergeCell ref="K46:P46"/>
    <mergeCell ref="K47:P47"/>
    <mergeCell ref="K48:P48"/>
    <mergeCell ref="K5:P6"/>
    <mergeCell ref="K34:P34"/>
    <mergeCell ref="K35:P35"/>
    <mergeCell ref="K36:P36"/>
    <mergeCell ref="K37:P37"/>
    <mergeCell ref="K23:P23"/>
    <mergeCell ref="K25:P25"/>
    <mergeCell ref="K26:P26"/>
    <mergeCell ref="K27:P27"/>
    <mergeCell ref="K16:P16"/>
    <mergeCell ref="K17:P17"/>
    <mergeCell ref="K18:P18"/>
    <mergeCell ref="K7:P7"/>
    <mergeCell ref="K8:P8"/>
    <mergeCell ref="K9:P9"/>
    <mergeCell ref="I46:J46"/>
    <mergeCell ref="I20:J20"/>
    <mergeCell ref="K10:P10"/>
    <mergeCell ref="K40:P40"/>
    <mergeCell ref="K41:P41"/>
    <mergeCell ref="K42:P42"/>
    <mergeCell ref="K21:P21"/>
    <mergeCell ref="K22:P22"/>
    <mergeCell ref="K20:P20"/>
    <mergeCell ref="K12:P12"/>
    <mergeCell ref="K13:P13"/>
    <mergeCell ref="K14:P14"/>
    <mergeCell ref="K15:P15"/>
    <mergeCell ref="K11:P11"/>
    <mergeCell ref="K24:P24"/>
    <mergeCell ref="K19:P19"/>
    <mergeCell ref="K43:P43"/>
    <mergeCell ref="K38:P38"/>
    <mergeCell ref="K39:P39"/>
    <mergeCell ref="K30:P30"/>
    <mergeCell ref="K31:P31"/>
    <mergeCell ref="K32:P32"/>
    <mergeCell ref="K33:P33"/>
    <mergeCell ref="K28:P28"/>
    <mergeCell ref="K29:P29"/>
    <mergeCell ref="D21:H21"/>
    <mergeCell ref="D20:H20"/>
    <mergeCell ref="D19:H19"/>
    <mergeCell ref="I47:J47"/>
    <mergeCell ref="I48:J48"/>
    <mergeCell ref="I5:J6"/>
    <mergeCell ref="D13:H13"/>
    <mergeCell ref="D15:H15"/>
    <mergeCell ref="D17:H17"/>
    <mergeCell ref="I38:J38"/>
    <mergeCell ref="I39:J39"/>
    <mergeCell ref="I40:J40"/>
    <mergeCell ref="I41:J41"/>
    <mergeCell ref="I42:J42"/>
    <mergeCell ref="I43:J43"/>
    <mergeCell ref="I28:J28"/>
    <mergeCell ref="I29:J29"/>
    <mergeCell ref="I30:J30"/>
    <mergeCell ref="I31:J31"/>
    <mergeCell ref="I32:J32"/>
    <mergeCell ref="D45:H45"/>
    <mergeCell ref="D47:H47"/>
    <mergeCell ref="D46:H46"/>
    <mergeCell ref="D39:H39"/>
    <mergeCell ref="D33:H33"/>
    <mergeCell ref="D48:H48"/>
    <mergeCell ref="D29:H29"/>
    <mergeCell ref="D30:H30"/>
    <mergeCell ref="D31:H31"/>
    <mergeCell ref="D32:H32"/>
    <mergeCell ref="D22:H22"/>
    <mergeCell ref="D23:H23"/>
    <mergeCell ref="D25:H25"/>
    <mergeCell ref="D26:H26"/>
    <mergeCell ref="D24:H24"/>
    <mergeCell ref="D27:H27"/>
    <mergeCell ref="D28:H28"/>
    <mergeCell ref="D34:H34"/>
    <mergeCell ref="D40:H40"/>
    <mergeCell ref="D41:H41"/>
    <mergeCell ref="D42:H42"/>
    <mergeCell ref="D43:H43"/>
    <mergeCell ref="D44:H44"/>
    <mergeCell ref="D35:H35"/>
    <mergeCell ref="D36:H36"/>
    <mergeCell ref="D37:H37"/>
    <mergeCell ref="D38:H38"/>
  </mergeCells>
  <conditionalFormatting sqref="I24:K24 I25:P48 I7:P18 I20:P23 I19 K19">
    <cfRule type="expression" priority="3" stopIfTrue="1">
      <formula>OR(I7="No",I7="", I7="May apply")</formula>
    </cfRule>
    <cfRule type="expression" dxfId="1" priority="4">
      <formula>OR(I7="Yes",NOT(I7=No_requirement_in_document))</formula>
    </cfRule>
  </conditionalFormatting>
  <conditionalFormatting sqref="I7:P18 I20:P48 I19 K19">
    <cfRule type="cellIs" priority="1" stopIfTrue="1" operator="equal">
      <formula>Inputs_still_required</formula>
    </cfRule>
  </conditionalFormatting>
  <pageMargins left="0.39370078740157483" right="0.39370078740157483" top="0.39370078740157483" bottom="0.39370078740157483" header="0.19685039370078741" footer="0.19685039370078741"/>
  <pageSetup paperSize="9" scale="94" orientation="landscape" r:id="rId1"/>
  <headerFooter>
    <oddHeader>&amp;L&amp;"Calibri"&amp;10&amp;K000000Official&amp;1#_x000D_&amp;"Calibri"&amp;11&amp;K000000&amp;9&amp;F</oddHeader>
    <oddFooter>&amp;R&amp;9Page &amp;P of &amp;N</oddFooter>
  </headerFooter>
  <rowBreaks count="1" manualBreakCount="1">
    <brk id="36" min="1" max="16" man="1"/>
  </rowBreaks>
  <extLst>
    <ext xmlns:x14="http://schemas.microsoft.com/office/spreadsheetml/2009/9/main" uri="{78C0D931-6437-407d-A8EE-F0AAD7539E65}">
      <x14:conditionalFormattings>
        <x14:conditionalFormatting xmlns:xm="http://schemas.microsoft.com/office/excel/2006/main">
          <x14:cfRule type="cellIs" priority="2" stopIfTrue="1" operator="equal" id="{0E32A05B-D030-4AD0-83FF-9D950A6FFEF7}">
            <xm:f>'Standard Messages'!$B$6</xm:f>
            <x14:dxf>
              <font>
                <b val="0"/>
                <i val="0"/>
                <color theme="0"/>
              </font>
            </x14:dxf>
          </x14:cfRule>
          <xm:sqref>K24 K25:P1048576 K3:P18 K20:P23 K19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201"/>
  <sheetViews>
    <sheetView workbookViewId="0"/>
  </sheetViews>
  <sheetFormatPr defaultRowHeight="13.2" x14ac:dyDescent="0.25"/>
  <cols>
    <col min="1" max="1" width="19.33203125" customWidth="1"/>
    <col min="2" max="2" width="32.5546875" customWidth="1"/>
    <col min="3" max="3" width="27.109375" customWidth="1"/>
  </cols>
  <sheetData>
    <row r="1" spans="1:4" x14ac:dyDescent="0.25">
      <c r="A1" s="2" t="s">
        <v>10</v>
      </c>
      <c r="B1" s="2" t="s">
        <v>269</v>
      </c>
      <c r="C1" s="68" t="s">
        <v>36</v>
      </c>
      <c r="D1" s="64"/>
    </row>
    <row r="2" spans="1:4" x14ac:dyDescent="0.25">
      <c r="A2">
        <v>0</v>
      </c>
      <c r="B2" t="s">
        <v>49</v>
      </c>
      <c r="C2" t="str">
        <f>IF('Development Details'!E16="Residential", IF('Development Details'!L34&gt;=200, "R6", VLOOKUP('Development Details'!L34,'Lookup Development Size'!$A$2:$B$201,2,0)), IF('Development Details'!E16="Non-Residential", IF('Development Details'!E62&lt;1000,K!C49,
IF('Development Details'!E62&lt;10000,K!C50, K!C51)), Inputs_still_required))</f>
        <v>Inputs still required</v>
      </c>
    </row>
    <row r="3" spans="1:4" x14ac:dyDescent="0.25">
      <c r="A3">
        <v>1</v>
      </c>
      <c r="B3" t="s">
        <v>49</v>
      </c>
    </row>
    <row r="4" spans="1:4" x14ac:dyDescent="0.25">
      <c r="A4">
        <v>2</v>
      </c>
      <c r="B4" t="s">
        <v>49</v>
      </c>
    </row>
    <row r="5" spans="1:4" x14ac:dyDescent="0.25">
      <c r="A5">
        <v>3</v>
      </c>
      <c r="B5" t="s">
        <v>49</v>
      </c>
    </row>
    <row r="6" spans="1:4" x14ac:dyDescent="0.25">
      <c r="A6">
        <v>4</v>
      </c>
      <c r="B6" t="s">
        <v>49</v>
      </c>
    </row>
    <row r="7" spans="1:4" x14ac:dyDescent="0.25">
      <c r="A7">
        <v>5</v>
      </c>
      <c r="B7" t="s">
        <v>49</v>
      </c>
    </row>
    <row r="8" spans="1:4" x14ac:dyDescent="0.25">
      <c r="A8">
        <v>6</v>
      </c>
      <c r="B8" t="s">
        <v>49</v>
      </c>
    </row>
    <row r="9" spans="1:4" x14ac:dyDescent="0.25">
      <c r="A9">
        <v>7</v>
      </c>
      <c r="B9" t="s">
        <v>49</v>
      </c>
    </row>
    <row r="10" spans="1:4" x14ac:dyDescent="0.25">
      <c r="A10">
        <v>8</v>
      </c>
      <c r="B10" t="s">
        <v>49</v>
      </c>
    </row>
    <row r="11" spans="1:4" x14ac:dyDescent="0.25">
      <c r="A11">
        <v>9</v>
      </c>
      <c r="B11" t="s">
        <v>49</v>
      </c>
    </row>
    <row r="12" spans="1:4" x14ac:dyDescent="0.25">
      <c r="A12">
        <v>10</v>
      </c>
      <c r="B12" t="s">
        <v>50</v>
      </c>
    </row>
    <row r="13" spans="1:4" x14ac:dyDescent="0.25">
      <c r="A13">
        <v>11</v>
      </c>
      <c r="B13" t="s">
        <v>50</v>
      </c>
    </row>
    <row r="14" spans="1:4" x14ac:dyDescent="0.25">
      <c r="A14">
        <v>12</v>
      </c>
      <c r="B14" t="s">
        <v>50</v>
      </c>
    </row>
    <row r="15" spans="1:4" x14ac:dyDescent="0.25">
      <c r="A15">
        <v>13</v>
      </c>
      <c r="B15" t="s">
        <v>50</v>
      </c>
    </row>
    <row r="16" spans="1:4" x14ac:dyDescent="0.25">
      <c r="A16">
        <v>14</v>
      </c>
      <c r="B16" t="s">
        <v>50</v>
      </c>
    </row>
    <row r="17" spans="1:2" x14ac:dyDescent="0.25">
      <c r="A17">
        <v>15</v>
      </c>
      <c r="B17" t="s">
        <v>50</v>
      </c>
    </row>
    <row r="18" spans="1:2" x14ac:dyDescent="0.25">
      <c r="A18">
        <v>16</v>
      </c>
      <c r="B18" t="s">
        <v>50</v>
      </c>
    </row>
    <row r="19" spans="1:2" x14ac:dyDescent="0.25">
      <c r="A19">
        <v>17</v>
      </c>
      <c r="B19" t="s">
        <v>50</v>
      </c>
    </row>
    <row r="20" spans="1:2" x14ac:dyDescent="0.25">
      <c r="A20">
        <v>18</v>
      </c>
      <c r="B20" t="s">
        <v>50</v>
      </c>
    </row>
    <row r="21" spans="1:2" x14ac:dyDescent="0.25">
      <c r="A21">
        <v>19</v>
      </c>
      <c r="B21" t="s">
        <v>50</v>
      </c>
    </row>
    <row r="22" spans="1:2" x14ac:dyDescent="0.25">
      <c r="A22">
        <v>20</v>
      </c>
      <c r="B22" t="s">
        <v>50</v>
      </c>
    </row>
    <row r="23" spans="1:2" x14ac:dyDescent="0.25">
      <c r="A23">
        <v>21</v>
      </c>
      <c r="B23" t="s">
        <v>50</v>
      </c>
    </row>
    <row r="24" spans="1:2" x14ac:dyDescent="0.25">
      <c r="A24">
        <v>22</v>
      </c>
      <c r="B24" t="s">
        <v>50</v>
      </c>
    </row>
    <row r="25" spans="1:2" x14ac:dyDescent="0.25">
      <c r="A25">
        <v>23</v>
      </c>
      <c r="B25" t="s">
        <v>50</v>
      </c>
    </row>
    <row r="26" spans="1:2" x14ac:dyDescent="0.25">
      <c r="A26">
        <v>24</v>
      </c>
      <c r="B26" t="s">
        <v>50</v>
      </c>
    </row>
    <row r="27" spans="1:2" x14ac:dyDescent="0.25">
      <c r="A27">
        <v>25</v>
      </c>
      <c r="B27" t="s">
        <v>50</v>
      </c>
    </row>
    <row r="28" spans="1:2" x14ac:dyDescent="0.25">
      <c r="A28">
        <v>26</v>
      </c>
      <c r="B28" t="s">
        <v>50</v>
      </c>
    </row>
    <row r="29" spans="1:2" x14ac:dyDescent="0.25">
      <c r="A29">
        <v>27</v>
      </c>
      <c r="B29" t="s">
        <v>50</v>
      </c>
    </row>
    <row r="30" spans="1:2" x14ac:dyDescent="0.25">
      <c r="A30">
        <v>28</v>
      </c>
      <c r="B30" t="s">
        <v>50</v>
      </c>
    </row>
    <row r="31" spans="1:2" x14ac:dyDescent="0.25">
      <c r="A31">
        <v>29</v>
      </c>
      <c r="B31" t="s">
        <v>50</v>
      </c>
    </row>
    <row r="32" spans="1:2" x14ac:dyDescent="0.25">
      <c r="A32">
        <v>30</v>
      </c>
      <c r="B32" t="s">
        <v>50</v>
      </c>
    </row>
    <row r="33" spans="1:2" x14ac:dyDescent="0.25">
      <c r="A33">
        <v>31</v>
      </c>
      <c r="B33" t="s">
        <v>50</v>
      </c>
    </row>
    <row r="34" spans="1:2" x14ac:dyDescent="0.25">
      <c r="A34">
        <v>32</v>
      </c>
      <c r="B34" t="s">
        <v>50</v>
      </c>
    </row>
    <row r="35" spans="1:2" x14ac:dyDescent="0.25">
      <c r="A35">
        <v>33</v>
      </c>
      <c r="B35" t="s">
        <v>50</v>
      </c>
    </row>
    <row r="36" spans="1:2" x14ac:dyDescent="0.25">
      <c r="A36">
        <v>34</v>
      </c>
      <c r="B36" t="s">
        <v>50</v>
      </c>
    </row>
    <row r="37" spans="1:2" x14ac:dyDescent="0.25">
      <c r="A37">
        <v>35</v>
      </c>
      <c r="B37" t="s">
        <v>50</v>
      </c>
    </row>
    <row r="38" spans="1:2" x14ac:dyDescent="0.25">
      <c r="A38">
        <v>36</v>
      </c>
      <c r="B38" t="s">
        <v>50</v>
      </c>
    </row>
    <row r="39" spans="1:2" x14ac:dyDescent="0.25">
      <c r="A39">
        <v>37</v>
      </c>
      <c r="B39" t="s">
        <v>50</v>
      </c>
    </row>
    <row r="40" spans="1:2" x14ac:dyDescent="0.25">
      <c r="A40">
        <v>38</v>
      </c>
      <c r="B40" t="s">
        <v>50</v>
      </c>
    </row>
    <row r="41" spans="1:2" x14ac:dyDescent="0.25">
      <c r="A41">
        <v>39</v>
      </c>
      <c r="B41" t="s">
        <v>50</v>
      </c>
    </row>
    <row r="42" spans="1:2" x14ac:dyDescent="0.25">
      <c r="A42">
        <v>40</v>
      </c>
      <c r="B42" t="s">
        <v>50</v>
      </c>
    </row>
    <row r="43" spans="1:2" x14ac:dyDescent="0.25">
      <c r="A43">
        <v>41</v>
      </c>
      <c r="B43" t="s">
        <v>50</v>
      </c>
    </row>
    <row r="44" spans="1:2" x14ac:dyDescent="0.25">
      <c r="A44">
        <v>42</v>
      </c>
      <c r="B44" t="s">
        <v>50</v>
      </c>
    </row>
    <row r="45" spans="1:2" x14ac:dyDescent="0.25">
      <c r="A45">
        <v>43</v>
      </c>
      <c r="B45" t="s">
        <v>50</v>
      </c>
    </row>
    <row r="46" spans="1:2" x14ac:dyDescent="0.25">
      <c r="A46">
        <v>44</v>
      </c>
      <c r="B46" t="s">
        <v>50</v>
      </c>
    </row>
    <row r="47" spans="1:2" x14ac:dyDescent="0.25">
      <c r="A47">
        <v>45</v>
      </c>
      <c r="B47" t="s">
        <v>50</v>
      </c>
    </row>
    <row r="48" spans="1:2" x14ac:dyDescent="0.25">
      <c r="A48">
        <v>46</v>
      </c>
      <c r="B48" t="s">
        <v>50</v>
      </c>
    </row>
    <row r="49" spans="1:2" x14ac:dyDescent="0.25">
      <c r="A49">
        <v>47</v>
      </c>
      <c r="B49" t="s">
        <v>50</v>
      </c>
    </row>
    <row r="50" spans="1:2" x14ac:dyDescent="0.25">
      <c r="A50">
        <v>48</v>
      </c>
      <c r="B50" t="s">
        <v>50</v>
      </c>
    </row>
    <row r="51" spans="1:2" x14ac:dyDescent="0.25">
      <c r="A51">
        <v>49</v>
      </c>
      <c r="B51" t="s">
        <v>50</v>
      </c>
    </row>
    <row r="52" spans="1:2" x14ac:dyDescent="0.25">
      <c r="A52">
        <v>50</v>
      </c>
      <c r="B52" t="s">
        <v>51</v>
      </c>
    </row>
    <row r="53" spans="1:2" x14ac:dyDescent="0.25">
      <c r="A53">
        <v>51</v>
      </c>
      <c r="B53" t="s">
        <v>51</v>
      </c>
    </row>
    <row r="54" spans="1:2" x14ac:dyDescent="0.25">
      <c r="A54">
        <v>52</v>
      </c>
      <c r="B54" t="s">
        <v>51</v>
      </c>
    </row>
    <row r="55" spans="1:2" x14ac:dyDescent="0.25">
      <c r="A55">
        <v>53</v>
      </c>
      <c r="B55" t="s">
        <v>51</v>
      </c>
    </row>
    <row r="56" spans="1:2" x14ac:dyDescent="0.25">
      <c r="A56">
        <v>54</v>
      </c>
      <c r="B56" t="s">
        <v>51</v>
      </c>
    </row>
    <row r="57" spans="1:2" x14ac:dyDescent="0.25">
      <c r="A57">
        <v>55</v>
      </c>
      <c r="B57" t="s">
        <v>51</v>
      </c>
    </row>
    <row r="58" spans="1:2" x14ac:dyDescent="0.25">
      <c r="A58">
        <v>56</v>
      </c>
      <c r="B58" t="s">
        <v>51</v>
      </c>
    </row>
    <row r="59" spans="1:2" x14ac:dyDescent="0.25">
      <c r="A59">
        <v>57</v>
      </c>
      <c r="B59" t="s">
        <v>51</v>
      </c>
    </row>
    <row r="60" spans="1:2" x14ac:dyDescent="0.25">
      <c r="A60">
        <v>58</v>
      </c>
      <c r="B60" t="s">
        <v>51</v>
      </c>
    </row>
    <row r="61" spans="1:2" x14ac:dyDescent="0.25">
      <c r="A61">
        <v>59</v>
      </c>
      <c r="B61" t="s">
        <v>51</v>
      </c>
    </row>
    <row r="62" spans="1:2" x14ac:dyDescent="0.25">
      <c r="A62">
        <v>60</v>
      </c>
      <c r="B62" t="s">
        <v>51</v>
      </c>
    </row>
    <row r="63" spans="1:2" x14ac:dyDescent="0.25">
      <c r="A63">
        <v>61</v>
      </c>
      <c r="B63" t="s">
        <v>51</v>
      </c>
    </row>
    <row r="64" spans="1:2" x14ac:dyDescent="0.25">
      <c r="A64">
        <v>62</v>
      </c>
      <c r="B64" t="s">
        <v>51</v>
      </c>
    </row>
    <row r="65" spans="1:2" x14ac:dyDescent="0.25">
      <c r="A65">
        <v>63</v>
      </c>
      <c r="B65" t="s">
        <v>51</v>
      </c>
    </row>
    <row r="66" spans="1:2" x14ac:dyDescent="0.25">
      <c r="A66">
        <v>64</v>
      </c>
      <c r="B66" t="s">
        <v>51</v>
      </c>
    </row>
    <row r="67" spans="1:2" x14ac:dyDescent="0.25">
      <c r="A67">
        <v>65</v>
      </c>
      <c r="B67" t="s">
        <v>51</v>
      </c>
    </row>
    <row r="68" spans="1:2" x14ac:dyDescent="0.25">
      <c r="A68">
        <v>66</v>
      </c>
      <c r="B68" t="s">
        <v>51</v>
      </c>
    </row>
    <row r="69" spans="1:2" x14ac:dyDescent="0.25">
      <c r="A69">
        <v>67</v>
      </c>
      <c r="B69" t="s">
        <v>51</v>
      </c>
    </row>
    <row r="70" spans="1:2" x14ac:dyDescent="0.25">
      <c r="A70">
        <v>68</v>
      </c>
      <c r="B70" t="s">
        <v>51</v>
      </c>
    </row>
    <row r="71" spans="1:2" x14ac:dyDescent="0.25">
      <c r="A71">
        <v>69</v>
      </c>
      <c r="B71" t="s">
        <v>51</v>
      </c>
    </row>
    <row r="72" spans="1:2" x14ac:dyDescent="0.25">
      <c r="A72">
        <v>70</v>
      </c>
      <c r="B72" t="s">
        <v>51</v>
      </c>
    </row>
    <row r="73" spans="1:2" x14ac:dyDescent="0.25">
      <c r="A73">
        <v>71</v>
      </c>
      <c r="B73" t="s">
        <v>51</v>
      </c>
    </row>
    <row r="74" spans="1:2" x14ac:dyDescent="0.25">
      <c r="A74">
        <v>72</v>
      </c>
      <c r="B74" t="s">
        <v>51</v>
      </c>
    </row>
    <row r="75" spans="1:2" x14ac:dyDescent="0.25">
      <c r="A75">
        <v>73</v>
      </c>
      <c r="B75" t="s">
        <v>51</v>
      </c>
    </row>
    <row r="76" spans="1:2" x14ac:dyDescent="0.25">
      <c r="A76">
        <v>74</v>
      </c>
      <c r="B76" t="s">
        <v>51</v>
      </c>
    </row>
    <row r="77" spans="1:2" x14ac:dyDescent="0.25">
      <c r="A77">
        <v>75</v>
      </c>
      <c r="B77" t="s">
        <v>51</v>
      </c>
    </row>
    <row r="78" spans="1:2" x14ac:dyDescent="0.25">
      <c r="A78">
        <v>76</v>
      </c>
      <c r="B78" t="s">
        <v>51</v>
      </c>
    </row>
    <row r="79" spans="1:2" x14ac:dyDescent="0.25">
      <c r="A79">
        <v>77</v>
      </c>
      <c r="B79" t="s">
        <v>51</v>
      </c>
    </row>
    <row r="80" spans="1:2" x14ac:dyDescent="0.25">
      <c r="A80">
        <v>78</v>
      </c>
      <c r="B80" t="s">
        <v>51</v>
      </c>
    </row>
    <row r="81" spans="1:2" x14ac:dyDescent="0.25">
      <c r="A81">
        <v>79</v>
      </c>
      <c r="B81" t="s">
        <v>51</v>
      </c>
    </row>
    <row r="82" spans="1:2" x14ac:dyDescent="0.25">
      <c r="A82">
        <v>80</v>
      </c>
      <c r="B82" t="s">
        <v>51</v>
      </c>
    </row>
    <row r="83" spans="1:2" x14ac:dyDescent="0.25">
      <c r="A83">
        <v>81</v>
      </c>
      <c r="B83" t="s">
        <v>51</v>
      </c>
    </row>
    <row r="84" spans="1:2" x14ac:dyDescent="0.25">
      <c r="A84">
        <v>82</v>
      </c>
      <c r="B84" t="s">
        <v>51</v>
      </c>
    </row>
    <row r="85" spans="1:2" x14ac:dyDescent="0.25">
      <c r="A85">
        <v>83</v>
      </c>
      <c r="B85" t="s">
        <v>51</v>
      </c>
    </row>
    <row r="86" spans="1:2" x14ac:dyDescent="0.25">
      <c r="A86">
        <v>84</v>
      </c>
      <c r="B86" t="s">
        <v>51</v>
      </c>
    </row>
    <row r="87" spans="1:2" x14ac:dyDescent="0.25">
      <c r="A87">
        <v>85</v>
      </c>
      <c r="B87" t="s">
        <v>51</v>
      </c>
    </row>
    <row r="88" spans="1:2" x14ac:dyDescent="0.25">
      <c r="A88">
        <v>86</v>
      </c>
      <c r="B88" t="s">
        <v>51</v>
      </c>
    </row>
    <row r="89" spans="1:2" x14ac:dyDescent="0.25">
      <c r="A89">
        <v>87</v>
      </c>
      <c r="B89" t="s">
        <v>51</v>
      </c>
    </row>
    <row r="90" spans="1:2" x14ac:dyDescent="0.25">
      <c r="A90">
        <v>88</v>
      </c>
      <c r="B90" t="s">
        <v>51</v>
      </c>
    </row>
    <row r="91" spans="1:2" x14ac:dyDescent="0.25">
      <c r="A91">
        <v>89</v>
      </c>
      <c r="B91" t="s">
        <v>51</v>
      </c>
    </row>
    <row r="92" spans="1:2" x14ac:dyDescent="0.25">
      <c r="A92">
        <v>90</v>
      </c>
      <c r="B92" t="s">
        <v>51</v>
      </c>
    </row>
    <row r="93" spans="1:2" x14ac:dyDescent="0.25">
      <c r="A93">
        <v>91</v>
      </c>
      <c r="B93" t="s">
        <v>51</v>
      </c>
    </row>
    <row r="94" spans="1:2" x14ac:dyDescent="0.25">
      <c r="A94">
        <v>92</v>
      </c>
      <c r="B94" t="s">
        <v>51</v>
      </c>
    </row>
    <row r="95" spans="1:2" x14ac:dyDescent="0.25">
      <c r="A95">
        <v>93</v>
      </c>
      <c r="B95" t="s">
        <v>51</v>
      </c>
    </row>
    <row r="96" spans="1:2" x14ac:dyDescent="0.25">
      <c r="A96">
        <v>94</v>
      </c>
      <c r="B96" t="s">
        <v>51</v>
      </c>
    </row>
    <row r="97" spans="1:2" x14ac:dyDescent="0.25">
      <c r="A97">
        <v>95</v>
      </c>
      <c r="B97" t="s">
        <v>51</v>
      </c>
    </row>
    <row r="98" spans="1:2" x14ac:dyDescent="0.25">
      <c r="A98">
        <v>96</v>
      </c>
      <c r="B98" t="s">
        <v>51</v>
      </c>
    </row>
    <row r="99" spans="1:2" x14ac:dyDescent="0.25">
      <c r="A99">
        <v>97</v>
      </c>
      <c r="B99" t="s">
        <v>51</v>
      </c>
    </row>
    <row r="100" spans="1:2" x14ac:dyDescent="0.25">
      <c r="A100">
        <v>98</v>
      </c>
      <c r="B100" t="s">
        <v>51</v>
      </c>
    </row>
    <row r="101" spans="1:2" x14ac:dyDescent="0.25">
      <c r="A101">
        <v>99</v>
      </c>
      <c r="B101" t="s">
        <v>51</v>
      </c>
    </row>
    <row r="102" spans="1:2" x14ac:dyDescent="0.25">
      <c r="A102">
        <v>100</v>
      </c>
      <c r="B102" t="s">
        <v>52</v>
      </c>
    </row>
    <row r="103" spans="1:2" x14ac:dyDescent="0.25">
      <c r="A103">
        <v>101</v>
      </c>
      <c r="B103" t="s">
        <v>52</v>
      </c>
    </row>
    <row r="104" spans="1:2" x14ac:dyDescent="0.25">
      <c r="A104">
        <v>102</v>
      </c>
      <c r="B104" t="s">
        <v>52</v>
      </c>
    </row>
    <row r="105" spans="1:2" x14ac:dyDescent="0.25">
      <c r="A105">
        <v>103</v>
      </c>
      <c r="B105" t="s">
        <v>52</v>
      </c>
    </row>
    <row r="106" spans="1:2" x14ac:dyDescent="0.25">
      <c r="A106">
        <v>104</v>
      </c>
      <c r="B106" t="s">
        <v>52</v>
      </c>
    </row>
    <row r="107" spans="1:2" x14ac:dyDescent="0.25">
      <c r="A107">
        <v>105</v>
      </c>
      <c r="B107" t="s">
        <v>52</v>
      </c>
    </row>
    <row r="108" spans="1:2" x14ac:dyDescent="0.25">
      <c r="A108">
        <v>106</v>
      </c>
      <c r="B108" t="s">
        <v>52</v>
      </c>
    </row>
    <row r="109" spans="1:2" x14ac:dyDescent="0.25">
      <c r="A109">
        <v>107</v>
      </c>
      <c r="B109" t="s">
        <v>52</v>
      </c>
    </row>
    <row r="110" spans="1:2" x14ac:dyDescent="0.25">
      <c r="A110">
        <v>108</v>
      </c>
      <c r="B110" t="s">
        <v>52</v>
      </c>
    </row>
    <row r="111" spans="1:2" x14ac:dyDescent="0.25">
      <c r="A111">
        <v>109</v>
      </c>
      <c r="B111" t="s">
        <v>52</v>
      </c>
    </row>
    <row r="112" spans="1:2" x14ac:dyDescent="0.25">
      <c r="A112">
        <v>110</v>
      </c>
      <c r="B112" t="s">
        <v>52</v>
      </c>
    </row>
    <row r="113" spans="1:2" x14ac:dyDescent="0.25">
      <c r="A113">
        <v>111</v>
      </c>
      <c r="B113" t="s">
        <v>52</v>
      </c>
    </row>
    <row r="114" spans="1:2" x14ac:dyDescent="0.25">
      <c r="A114">
        <v>112</v>
      </c>
      <c r="B114" t="s">
        <v>52</v>
      </c>
    </row>
    <row r="115" spans="1:2" x14ac:dyDescent="0.25">
      <c r="A115">
        <v>113</v>
      </c>
      <c r="B115" t="s">
        <v>52</v>
      </c>
    </row>
    <row r="116" spans="1:2" x14ac:dyDescent="0.25">
      <c r="A116">
        <v>114</v>
      </c>
      <c r="B116" t="s">
        <v>52</v>
      </c>
    </row>
    <row r="117" spans="1:2" x14ac:dyDescent="0.25">
      <c r="A117">
        <v>115</v>
      </c>
      <c r="B117" t="s">
        <v>52</v>
      </c>
    </row>
    <row r="118" spans="1:2" x14ac:dyDescent="0.25">
      <c r="A118">
        <v>116</v>
      </c>
      <c r="B118" t="s">
        <v>52</v>
      </c>
    </row>
    <row r="119" spans="1:2" x14ac:dyDescent="0.25">
      <c r="A119">
        <v>117</v>
      </c>
      <c r="B119" t="s">
        <v>52</v>
      </c>
    </row>
    <row r="120" spans="1:2" x14ac:dyDescent="0.25">
      <c r="A120">
        <v>118</v>
      </c>
      <c r="B120" t="s">
        <v>52</v>
      </c>
    </row>
    <row r="121" spans="1:2" x14ac:dyDescent="0.25">
      <c r="A121">
        <v>119</v>
      </c>
      <c r="B121" t="s">
        <v>52</v>
      </c>
    </row>
    <row r="122" spans="1:2" x14ac:dyDescent="0.25">
      <c r="A122">
        <v>120</v>
      </c>
      <c r="B122" t="s">
        <v>52</v>
      </c>
    </row>
    <row r="123" spans="1:2" x14ac:dyDescent="0.25">
      <c r="A123">
        <v>121</v>
      </c>
      <c r="B123" t="s">
        <v>52</v>
      </c>
    </row>
    <row r="124" spans="1:2" x14ac:dyDescent="0.25">
      <c r="A124">
        <v>122</v>
      </c>
      <c r="B124" t="s">
        <v>52</v>
      </c>
    </row>
    <row r="125" spans="1:2" x14ac:dyDescent="0.25">
      <c r="A125">
        <v>123</v>
      </c>
      <c r="B125" t="s">
        <v>52</v>
      </c>
    </row>
    <row r="126" spans="1:2" x14ac:dyDescent="0.25">
      <c r="A126">
        <v>124</v>
      </c>
      <c r="B126" t="s">
        <v>52</v>
      </c>
    </row>
    <row r="127" spans="1:2" x14ac:dyDescent="0.25">
      <c r="A127">
        <v>125</v>
      </c>
      <c r="B127" t="s">
        <v>52</v>
      </c>
    </row>
    <row r="128" spans="1:2" x14ac:dyDescent="0.25">
      <c r="A128">
        <v>126</v>
      </c>
      <c r="B128" t="s">
        <v>52</v>
      </c>
    </row>
    <row r="129" spans="1:2" x14ac:dyDescent="0.25">
      <c r="A129">
        <v>127</v>
      </c>
      <c r="B129" t="s">
        <v>52</v>
      </c>
    </row>
    <row r="130" spans="1:2" x14ac:dyDescent="0.25">
      <c r="A130">
        <v>128</v>
      </c>
      <c r="B130" t="s">
        <v>52</v>
      </c>
    </row>
    <row r="131" spans="1:2" x14ac:dyDescent="0.25">
      <c r="A131">
        <v>129</v>
      </c>
      <c r="B131" t="s">
        <v>52</v>
      </c>
    </row>
    <row r="132" spans="1:2" x14ac:dyDescent="0.25">
      <c r="A132">
        <v>130</v>
      </c>
      <c r="B132" t="s">
        <v>52</v>
      </c>
    </row>
    <row r="133" spans="1:2" x14ac:dyDescent="0.25">
      <c r="A133">
        <v>131</v>
      </c>
      <c r="B133" t="s">
        <v>52</v>
      </c>
    </row>
    <row r="134" spans="1:2" x14ac:dyDescent="0.25">
      <c r="A134">
        <v>132</v>
      </c>
      <c r="B134" t="s">
        <v>52</v>
      </c>
    </row>
    <row r="135" spans="1:2" x14ac:dyDescent="0.25">
      <c r="A135">
        <v>133</v>
      </c>
      <c r="B135" t="s">
        <v>52</v>
      </c>
    </row>
    <row r="136" spans="1:2" x14ac:dyDescent="0.25">
      <c r="A136">
        <v>134</v>
      </c>
      <c r="B136" t="s">
        <v>52</v>
      </c>
    </row>
    <row r="137" spans="1:2" x14ac:dyDescent="0.25">
      <c r="A137">
        <v>135</v>
      </c>
      <c r="B137" t="s">
        <v>52</v>
      </c>
    </row>
    <row r="138" spans="1:2" x14ac:dyDescent="0.25">
      <c r="A138">
        <v>136</v>
      </c>
      <c r="B138" t="s">
        <v>52</v>
      </c>
    </row>
    <row r="139" spans="1:2" x14ac:dyDescent="0.25">
      <c r="A139">
        <v>137</v>
      </c>
      <c r="B139" t="s">
        <v>52</v>
      </c>
    </row>
    <row r="140" spans="1:2" x14ac:dyDescent="0.25">
      <c r="A140">
        <v>138</v>
      </c>
      <c r="B140" t="s">
        <v>52</v>
      </c>
    </row>
    <row r="141" spans="1:2" x14ac:dyDescent="0.25">
      <c r="A141">
        <v>139</v>
      </c>
      <c r="B141" t="s">
        <v>52</v>
      </c>
    </row>
    <row r="142" spans="1:2" x14ac:dyDescent="0.25">
      <c r="A142">
        <v>140</v>
      </c>
      <c r="B142" t="s">
        <v>52</v>
      </c>
    </row>
    <row r="143" spans="1:2" x14ac:dyDescent="0.25">
      <c r="A143">
        <v>141</v>
      </c>
      <c r="B143" t="s">
        <v>52</v>
      </c>
    </row>
    <row r="144" spans="1:2" x14ac:dyDescent="0.25">
      <c r="A144">
        <v>142</v>
      </c>
      <c r="B144" t="s">
        <v>52</v>
      </c>
    </row>
    <row r="145" spans="1:2" x14ac:dyDescent="0.25">
      <c r="A145">
        <v>143</v>
      </c>
      <c r="B145" t="s">
        <v>52</v>
      </c>
    </row>
    <row r="146" spans="1:2" x14ac:dyDescent="0.25">
      <c r="A146">
        <v>144</v>
      </c>
      <c r="B146" t="s">
        <v>52</v>
      </c>
    </row>
    <row r="147" spans="1:2" x14ac:dyDescent="0.25">
      <c r="A147">
        <v>145</v>
      </c>
      <c r="B147" t="s">
        <v>52</v>
      </c>
    </row>
    <row r="148" spans="1:2" x14ac:dyDescent="0.25">
      <c r="A148">
        <v>146</v>
      </c>
      <c r="B148" t="s">
        <v>52</v>
      </c>
    </row>
    <row r="149" spans="1:2" x14ac:dyDescent="0.25">
      <c r="A149">
        <v>147</v>
      </c>
      <c r="B149" t="s">
        <v>52</v>
      </c>
    </row>
    <row r="150" spans="1:2" x14ac:dyDescent="0.25">
      <c r="A150">
        <v>148</v>
      </c>
      <c r="B150" t="s">
        <v>52</v>
      </c>
    </row>
    <row r="151" spans="1:2" x14ac:dyDescent="0.25">
      <c r="A151">
        <v>149</v>
      </c>
      <c r="B151" t="s">
        <v>52</v>
      </c>
    </row>
    <row r="152" spans="1:2" x14ac:dyDescent="0.25">
      <c r="A152">
        <v>150</v>
      </c>
      <c r="B152" t="s">
        <v>53</v>
      </c>
    </row>
    <row r="153" spans="1:2" x14ac:dyDescent="0.25">
      <c r="A153">
        <v>151</v>
      </c>
      <c r="B153" t="s">
        <v>53</v>
      </c>
    </row>
    <row r="154" spans="1:2" x14ac:dyDescent="0.25">
      <c r="A154">
        <v>152</v>
      </c>
      <c r="B154" t="s">
        <v>53</v>
      </c>
    </row>
    <row r="155" spans="1:2" x14ac:dyDescent="0.25">
      <c r="A155">
        <v>153</v>
      </c>
      <c r="B155" t="s">
        <v>53</v>
      </c>
    </row>
    <row r="156" spans="1:2" x14ac:dyDescent="0.25">
      <c r="A156">
        <v>154</v>
      </c>
      <c r="B156" t="s">
        <v>53</v>
      </c>
    </row>
    <row r="157" spans="1:2" x14ac:dyDescent="0.25">
      <c r="A157">
        <v>155</v>
      </c>
      <c r="B157" t="s">
        <v>53</v>
      </c>
    </row>
    <row r="158" spans="1:2" x14ac:dyDescent="0.25">
      <c r="A158">
        <v>156</v>
      </c>
      <c r="B158" t="s">
        <v>53</v>
      </c>
    </row>
    <row r="159" spans="1:2" x14ac:dyDescent="0.25">
      <c r="A159">
        <v>157</v>
      </c>
      <c r="B159" t="s">
        <v>53</v>
      </c>
    </row>
    <row r="160" spans="1:2" x14ac:dyDescent="0.25">
      <c r="A160">
        <v>158</v>
      </c>
      <c r="B160" t="s">
        <v>53</v>
      </c>
    </row>
    <row r="161" spans="1:2" x14ac:dyDescent="0.25">
      <c r="A161">
        <v>159</v>
      </c>
      <c r="B161" t="s">
        <v>53</v>
      </c>
    </row>
    <row r="162" spans="1:2" x14ac:dyDescent="0.25">
      <c r="A162">
        <v>160</v>
      </c>
      <c r="B162" t="s">
        <v>53</v>
      </c>
    </row>
    <row r="163" spans="1:2" x14ac:dyDescent="0.25">
      <c r="A163">
        <v>161</v>
      </c>
      <c r="B163" t="s">
        <v>53</v>
      </c>
    </row>
    <row r="164" spans="1:2" x14ac:dyDescent="0.25">
      <c r="A164">
        <v>162</v>
      </c>
      <c r="B164" t="s">
        <v>53</v>
      </c>
    </row>
    <row r="165" spans="1:2" x14ac:dyDescent="0.25">
      <c r="A165">
        <v>163</v>
      </c>
      <c r="B165" t="s">
        <v>53</v>
      </c>
    </row>
    <row r="166" spans="1:2" x14ac:dyDescent="0.25">
      <c r="A166">
        <v>164</v>
      </c>
      <c r="B166" t="s">
        <v>53</v>
      </c>
    </row>
    <row r="167" spans="1:2" x14ac:dyDescent="0.25">
      <c r="A167">
        <v>165</v>
      </c>
      <c r="B167" t="s">
        <v>53</v>
      </c>
    </row>
    <row r="168" spans="1:2" x14ac:dyDescent="0.25">
      <c r="A168">
        <v>166</v>
      </c>
      <c r="B168" t="s">
        <v>53</v>
      </c>
    </row>
    <row r="169" spans="1:2" x14ac:dyDescent="0.25">
      <c r="A169">
        <v>167</v>
      </c>
      <c r="B169" t="s">
        <v>53</v>
      </c>
    </row>
    <row r="170" spans="1:2" x14ac:dyDescent="0.25">
      <c r="A170">
        <v>168</v>
      </c>
      <c r="B170" t="s">
        <v>53</v>
      </c>
    </row>
    <row r="171" spans="1:2" x14ac:dyDescent="0.25">
      <c r="A171">
        <v>169</v>
      </c>
      <c r="B171" t="s">
        <v>53</v>
      </c>
    </row>
    <row r="172" spans="1:2" x14ac:dyDescent="0.25">
      <c r="A172">
        <v>170</v>
      </c>
      <c r="B172" t="s">
        <v>53</v>
      </c>
    </row>
    <row r="173" spans="1:2" x14ac:dyDescent="0.25">
      <c r="A173">
        <v>171</v>
      </c>
      <c r="B173" t="s">
        <v>53</v>
      </c>
    </row>
    <row r="174" spans="1:2" x14ac:dyDescent="0.25">
      <c r="A174">
        <v>172</v>
      </c>
      <c r="B174" t="s">
        <v>53</v>
      </c>
    </row>
    <row r="175" spans="1:2" x14ac:dyDescent="0.25">
      <c r="A175">
        <v>173</v>
      </c>
      <c r="B175" t="s">
        <v>53</v>
      </c>
    </row>
    <row r="176" spans="1:2" x14ac:dyDescent="0.25">
      <c r="A176">
        <v>174</v>
      </c>
      <c r="B176" t="s">
        <v>53</v>
      </c>
    </row>
    <row r="177" spans="1:2" x14ac:dyDescent="0.25">
      <c r="A177">
        <v>175</v>
      </c>
      <c r="B177" t="s">
        <v>53</v>
      </c>
    </row>
    <row r="178" spans="1:2" x14ac:dyDescent="0.25">
      <c r="A178">
        <v>176</v>
      </c>
      <c r="B178" t="s">
        <v>53</v>
      </c>
    </row>
    <row r="179" spans="1:2" x14ac:dyDescent="0.25">
      <c r="A179">
        <v>177</v>
      </c>
      <c r="B179" t="s">
        <v>53</v>
      </c>
    </row>
    <row r="180" spans="1:2" x14ac:dyDescent="0.25">
      <c r="A180">
        <v>178</v>
      </c>
      <c r="B180" t="s">
        <v>53</v>
      </c>
    </row>
    <row r="181" spans="1:2" x14ac:dyDescent="0.25">
      <c r="A181">
        <v>179</v>
      </c>
      <c r="B181" t="s">
        <v>53</v>
      </c>
    </row>
    <row r="182" spans="1:2" x14ac:dyDescent="0.25">
      <c r="A182">
        <v>180</v>
      </c>
      <c r="B182" t="s">
        <v>53</v>
      </c>
    </row>
    <row r="183" spans="1:2" x14ac:dyDescent="0.25">
      <c r="A183">
        <v>181</v>
      </c>
      <c r="B183" t="s">
        <v>53</v>
      </c>
    </row>
    <row r="184" spans="1:2" x14ac:dyDescent="0.25">
      <c r="A184">
        <v>182</v>
      </c>
      <c r="B184" t="s">
        <v>53</v>
      </c>
    </row>
    <row r="185" spans="1:2" x14ac:dyDescent="0.25">
      <c r="A185">
        <v>183</v>
      </c>
      <c r="B185" t="s">
        <v>53</v>
      </c>
    </row>
    <row r="186" spans="1:2" x14ac:dyDescent="0.25">
      <c r="A186">
        <v>184</v>
      </c>
      <c r="B186" t="s">
        <v>53</v>
      </c>
    </row>
    <row r="187" spans="1:2" x14ac:dyDescent="0.25">
      <c r="A187">
        <v>185</v>
      </c>
      <c r="B187" t="s">
        <v>53</v>
      </c>
    </row>
    <row r="188" spans="1:2" x14ac:dyDescent="0.25">
      <c r="A188">
        <v>186</v>
      </c>
      <c r="B188" t="s">
        <v>53</v>
      </c>
    </row>
    <row r="189" spans="1:2" x14ac:dyDescent="0.25">
      <c r="A189">
        <v>187</v>
      </c>
      <c r="B189" t="s">
        <v>53</v>
      </c>
    </row>
    <row r="190" spans="1:2" x14ac:dyDescent="0.25">
      <c r="A190">
        <v>188</v>
      </c>
      <c r="B190" t="s">
        <v>53</v>
      </c>
    </row>
    <row r="191" spans="1:2" x14ac:dyDescent="0.25">
      <c r="A191">
        <v>189</v>
      </c>
      <c r="B191" t="s">
        <v>53</v>
      </c>
    </row>
    <row r="192" spans="1:2" x14ac:dyDescent="0.25">
      <c r="A192">
        <v>190</v>
      </c>
      <c r="B192" t="s">
        <v>53</v>
      </c>
    </row>
    <row r="193" spans="1:2" x14ac:dyDescent="0.25">
      <c r="A193">
        <v>191</v>
      </c>
      <c r="B193" t="s">
        <v>53</v>
      </c>
    </row>
    <row r="194" spans="1:2" x14ac:dyDescent="0.25">
      <c r="A194">
        <v>192</v>
      </c>
      <c r="B194" t="s">
        <v>53</v>
      </c>
    </row>
    <row r="195" spans="1:2" x14ac:dyDescent="0.25">
      <c r="A195">
        <v>193</v>
      </c>
      <c r="B195" t="s">
        <v>53</v>
      </c>
    </row>
    <row r="196" spans="1:2" x14ac:dyDescent="0.25">
      <c r="A196">
        <v>194</v>
      </c>
      <c r="B196" t="s">
        <v>53</v>
      </c>
    </row>
    <row r="197" spans="1:2" x14ac:dyDescent="0.25">
      <c r="A197">
        <v>195</v>
      </c>
      <c r="B197" t="s">
        <v>53</v>
      </c>
    </row>
    <row r="198" spans="1:2" x14ac:dyDescent="0.25">
      <c r="A198">
        <v>196</v>
      </c>
      <c r="B198" t="s">
        <v>53</v>
      </c>
    </row>
    <row r="199" spans="1:2" x14ac:dyDescent="0.25">
      <c r="A199">
        <v>197</v>
      </c>
      <c r="B199" t="s">
        <v>53</v>
      </c>
    </row>
    <row r="200" spans="1:2" x14ac:dyDescent="0.25">
      <c r="A200">
        <v>198</v>
      </c>
      <c r="B200" t="s">
        <v>53</v>
      </c>
    </row>
    <row r="201" spans="1:2" x14ac:dyDescent="0.25">
      <c r="A201">
        <v>199</v>
      </c>
      <c r="B201" t="s">
        <v>53</v>
      </c>
    </row>
  </sheetData>
  <pageMargins left="0.7" right="0.7" top="0.75" bottom="0.75" header="0.3" footer="0.3"/>
  <pageSetup paperSize="9" orientation="portrait" r:id="rId1"/>
  <headerFooter>
    <oddHeader>&amp;L&amp;"Calibri"&amp;10&amp;K000000Official&amp;1#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A2"/>
  <sheetViews>
    <sheetView workbookViewId="0"/>
  </sheetViews>
  <sheetFormatPr defaultRowHeight="13.2" x14ac:dyDescent="0.25"/>
  <sheetData>
    <row r="1" spans="1:1" x14ac:dyDescent="0.25">
      <c r="A1" t="s">
        <v>38</v>
      </c>
    </row>
    <row r="2" spans="1:1" x14ac:dyDescent="0.25">
      <c r="A2" t="s">
        <v>212</v>
      </c>
    </row>
  </sheetData>
  <pageMargins left="0.7" right="0.7" top="0.75" bottom="0.75" header="0.3" footer="0.3"/>
  <pageSetup paperSize="9" orientation="portrait" r:id="rId1"/>
  <headerFooter>
    <oddHeader>&amp;L&amp;"Calibri"&amp;10&amp;K000000Official&amp;1#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A2"/>
  <sheetViews>
    <sheetView workbookViewId="0"/>
  </sheetViews>
  <sheetFormatPr defaultRowHeight="13.2" x14ac:dyDescent="0.25"/>
  <sheetData>
    <row r="1" spans="1:1" x14ac:dyDescent="0.25">
      <c r="A1" t="s">
        <v>1</v>
      </c>
    </row>
    <row r="2" spans="1:1" x14ac:dyDescent="0.25">
      <c r="A2" t="s">
        <v>107</v>
      </c>
    </row>
  </sheetData>
  <pageMargins left="0.7" right="0.7" top="0.75" bottom="0.75" header="0.3" footer="0.3"/>
  <pageSetup paperSize="9" orientation="portrait" r:id="rId1"/>
  <headerFooter>
    <oddHeader>&amp;L&amp;"Calibri"&amp;10&amp;K000000Official&amp;1#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2:Q47"/>
  <sheetViews>
    <sheetView workbookViewId="0">
      <selection activeCell="E35" sqref="E35:H35"/>
    </sheetView>
  </sheetViews>
  <sheetFormatPr defaultRowHeight="13.2" x14ac:dyDescent="0.25"/>
  <cols>
    <col min="1" max="2" width="2.6640625" customWidth="1"/>
    <col min="3" max="3" width="9.109375" style="56"/>
    <col min="17" max="17" width="2.6640625" customWidth="1"/>
  </cols>
  <sheetData>
    <row r="2" spans="2:17" x14ac:dyDescent="0.25">
      <c r="B2" s="90"/>
      <c r="C2" s="105"/>
      <c r="D2" s="91"/>
      <c r="E2" s="91"/>
      <c r="F2" s="91"/>
      <c r="G2" s="91"/>
      <c r="H2" s="91"/>
      <c r="I2" s="91"/>
      <c r="J2" s="91"/>
      <c r="K2" s="91"/>
      <c r="L2" s="91"/>
      <c r="M2" s="91"/>
      <c r="N2" s="91"/>
      <c r="O2" s="91"/>
      <c r="P2" s="91"/>
      <c r="Q2" s="92"/>
    </row>
    <row r="3" spans="2:17" ht="19.2" thickBot="1" x14ac:dyDescent="0.35">
      <c r="B3" s="95"/>
      <c r="C3" s="106" t="s">
        <v>99</v>
      </c>
      <c r="D3" s="96"/>
      <c r="E3" s="96"/>
      <c r="F3" s="96"/>
      <c r="G3" s="96"/>
      <c r="H3" s="96"/>
      <c r="I3" s="96"/>
      <c r="J3" s="96"/>
      <c r="K3" s="96"/>
      <c r="L3" s="96"/>
      <c r="M3" s="96"/>
      <c r="N3" s="96"/>
      <c r="O3" s="96"/>
      <c r="P3" s="96"/>
      <c r="Q3" s="97"/>
    </row>
    <row r="4" spans="2:17" ht="13.8" thickTop="1" x14ac:dyDescent="0.25">
      <c r="B4" s="93"/>
      <c r="C4"/>
      <c r="Q4" s="94"/>
    </row>
    <row r="5" spans="2:17" ht="16.8" x14ac:dyDescent="0.3">
      <c r="B5" s="93"/>
      <c r="C5" s="3" t="s">
        <v>200</v>
      </c>
      <c r="Q5" s="94"/>
    </row>
    <row r="6" spans="2:17" x14ac:dyDescent="0.25">
      <c r="B6" s="93"/>
      <c r="Q6" s="94"/>
    </row>
    <row r="7" spans="2:17" ht="25.5" customHeight="1" x14ac:dyDescent="0.25">
      <c r="B7" s="93"/>
      <c r="C7" s="107" t="str">
        <f>1&amp;"."</f>
        <v>1.</v>
      </c>
      <c r="D7" s="224" t="s">
        <v>272</v>
      </c>
      <c r="E7" s="224"/>
      <c r="F7" s="224"/>
      <c r="G7" s="224"/>
      <c r="H7" s="224"/>
      <c r="I7" s="224"/>
      <c r="J7" s="224"/>
      <c r="K7" s="224"/>
      <c r="L7" s="224"/>
      <c r="M7" s="224"/>
      <c r="N7" s="224"/>
      <c r="O7" s="224"/>
      <c r="P7" s="224"/>
      <c r="Q7" s="94"/>
    </row>
    <row r="8" spans="2:17" x14ac:dyDescent="0.25">
      <c r="B8" s="93"/>
      <c r="C8" s="108"/>
      <c r="D8" s="224"/>
      <c r="E8" s="224"/>
      <c r="F8" s="224"/>
      <c r="G8" s="224"/>
      <c r="H8" s="224"/>
      <c r="I8" s="224"/>
      <c r="J8" s="224"/>
      <c r="K8" s="224"/>
      <c r="L8" s="224"/>
      <c r="M8" s="224"/>
      <c r="N8" s="224"/>
      <c r="O8" s="224"/>
      <c r="P8" s="224"/>
      <c r="Q8" s="94"/>
    </row>
    <row r="9" spans="2:17" ht="25.5" customHeight="1" x14ac:dyDescent="0.25">
      <c r="B9" s="93"/>
      <c r="C9" s="107" t="str">
        <f>(C7+1)&amp;"."</f>
        <v>2.</v>
      </c>
      <c r="D9" s="224" t="s">
        <v>197</v>
      </c>
      <c r="E9" s="224"/>
      <c r="F9" s="224"/>
      <c r="G9" s="224"/>
      <c r="H9" s="224"/>
      <c r="I9" s="224"/>
      <c r="J9" s="224"/>
      <c r="K9" s="224"/>
      <c r="L9" s="224"/>
      <c r="M9" s="224"/>
      <c r="N9" s="224"/>
      <c r="O9" s="224"/>
      <c r="P9" s="224"/>
      <c r="Q9" s="94"/>
    </row>
    <row r="10" spans="2:17" x14ac:dyDescent="0.25">
      <c r="B10" s="93"/>
      <c r="C10" s="108"/>
      <c r="D10" s="224"/>
      <c r="E10" s="224"/>
      <c r="F10" s="224"/>
      <c r="G10" s="224"/>
      <c r="H10" s="224"/>
      <c r="I10" s="224"/>
      <c r="J10" s="224"/>
      <c r="K10" s="224"/>
      <c r="L10" s="224"/>
      <c r="M10" s="224"/>
      <c r="N10" s="224"/>
      <c r="O10" s="224"/>
      <c r="P10" s="224"/>
      <c r="Q10" s="94"/>
    </row>
    <row r="11" spans="2:17" x14ac:dyDescent="0.25">
      <c r="B11" s="93"/>
      <c r="C11" s="107" t="str">
        <f>(C9+1)&amp;"."</f>
        <v>3.</v>
      </c>
      <c r="D11" s="224" t="s">
        <v>208</v>
      </c>
      <c r="E11" s="224"/>
      <c r="F11" s="224"/>
      <c r="G11" s="224"/>
      <c r="H11" s="224"/>
      <c r="I11" s="224"/>
      <c r="J11" s="224"/>
      <c r="K11" s="224"/>
      <c r="L11" s="224"/>
      <c r="M11" s="224"/>
      <c r="N11" s="224"/>
      <c r="O11" s="224"/>
      <c r="P11" s="224"/>
      <c r="Q11" s="94"/>
    </row>
    <row r="12" spans="2:17" x14ac:dyDescent="0.25">
      <c r="B12" s="93"/>
      <c r="C12" s="108"/>
      <c r="D12" s="224"/>
      <c r="E12" s="224"/>
      <c r="F12" s="224"/>
      <c r="G12" s="224"/>
      <c r="H12" s="224"/>
      <c r="I12" s="224"/>
      <c r="J12" s="224"/>
      <c r="K12" s="224"/>
      <c r="L12" s="224"/>
      <c r="M12" s="224"/>
      <c r="N12" s="224"/>
      <c r="O12" s="224"/>
      <c r="P12" s="224"/>
      <c r="Q12" s="94"/>
    </row>
    <row r="13" spans="2:17" ht="25.5" customHeight="1" x14ac:dyDescent="0.25">
      <c r="B13" s="93"/>
      <c r="C13" s="107" t="str">
        <f>(C11+1)&amp;"."</f>
        <v>4.</v>
      </c>
      <c r="D13" s="224" t="s">
        <v>244</v>
      </c>
      <c r="E13" s="224"/>
      <c r="F13" s="224"/>
      <c r="G13" s="224"/>
      <c r="H13" s="224"/>
      <c r="I13" s="224"/>
      <c r="J13" s="224"/>
      <c r="K13" s="224"/>
      <c r="L13" s="224"/>
      <c r="M13" s="224"/>
      <c r="N13" s="224"/>
      <c r="O13" s="224"/>
      <c r="P13" s="224"/>
      <c r="Q13" s="94"/>
    </row>
    <row r="14" spans="2:17" x14ac:dyDescent="0.25">
      <c r="B14" s="93"/>
      <c r="C14" s="108"/>
      <c r="D14" s="224"/>
      <c r="E14" s="224"/>
      <c r="F14" s="224"/>
      <c r="G14" s="224"/>
      <c r="H14" s="224"/>
      <c r="I14" s="224"/>
      <c r="J14" s="224"/>
      <c r="K14" s="224"/>
      <c r="L14" s="224"/>
      <c r="M14" s="224"/>
      <c r="N14" s="224"/>
      <c r="O14" s="224"/>
      <c r="P14" s="224"/>
      <c r="Q14" s="94"/>
    </row>
    <row r="15" spans="2:17" ht="16.8" x14ac:dyDescent="0.25">
      <c r="B15" s="90"/>
      <c r="C15" s="110" t="s">
        <v>201</v>
      </c>
      <c r="D15" s="111"/>
      <c r="E15" s="111"/>
      <c r="F15" s="111"/>
      <c r="G15" s="111"/>
      <c r="H15" s="111"/>
      <c r="I15" s="111"/>
      <c r="J15" s="111"/>
      <c r="K15" s="111"/>
      <c r="L15" s="111"/>
      <c r="M15" s="111"/>
      <c r="N15" s="111"/>
      <c r="O15" s="111"/>
      <c r="P15" s="111"/>
      <c r="Q15" s="92"/>
    </row>
    <row r="16" spans="2:17" x14ac:dyDescent="0.25">
      <c r="B16" s="93"/>
      <c r="C16" s="108"/>
      <c r="D16" s="8"/>
      <c r="E16" s="8"/>
      <c r="F16" s="8"/>
      <c r="G16" s="8"/>
      <c r="H16" s="8"/>
      <c r="I16" s="8"/>
      <c r="J16" s="8"/>
      <c r="K16" s="8"/>
      <c r="L16" s="8"/>
      <c r="M16" s="8"/>
      <c r="N16" s="8"/>
      <c r="O16" s="8"/>
      <c r="P16" s="8"/>
      <c r="Q16" s="94"/>
    </row>
    <row r="17" spans="2:17" ht="12.75" customHeight="1" x14ac:dyDescent="0.25">
      <c r="B17" s="93"/>
      <c r="C17" s="107" t="str">
        <f>(C13+1)&amp;"."</f>
        <v>5.</v>
      </c>
      <c r="D17" s="226" t="s">
        <v>210</v>
      </c>
      <c r="E17" s="226"/>
      <c r="F17" s="226"/>
      <c r="G17" s="226"/>
      <c r="H17" s="226"/>
      <c r="I17" s="226"/>
      <c r="J17" s="226"/>
      <c r="K17" s="226"/>
      <c r="L17" s="226"/>
      <c r="M17" s="226"/>
      <c r="N17" s="8"/>
      <c r="O17" s="225" t="s">
        <v>199</v>
      </c>
      <c r="P17" s="225"/>
      <c r="Q17" s="94"/>
    </row>
    <row r="18" spans="2:17" x14ac:dyDescent="0.25">
      <c r="B18" s="93"/>
      <c r="C18" s="108"/>
      <c r="D18" s="224"/>
      <c r="E18" s="224"/>
      <c r="F18" s="224"/>
      <c r="G18" s="224"/>
      <c r="H18" s="224"/>
      <c r="I18" s="224"/>
      <c r="J18" s="224"/>
      <c r="K18" s="224"/>
      <c r="L18" s="224"/>
      <c r="M18" s="224"/>
      <c r="N18" s="224"/>
      <c r="O18" s="224"/>
      <c r="P18" s="224"/>
      <c r="Q18" s="94"/>
    </row>
    <row r="19" spans="2:17" ht="12.75" customHeight="1" x14ac:dyDescent="0.25">
      <c r="B19" s="93"/>
      <c r="C19" s="107" t="str">
        <f>(C17+1)&amp;"."</f>
        <v>6.</v>
      </c>
      <c r="D19" s="226" t="s">
        <v>223</v>
      </c>
      <c r="E19" s="226"/>
      <c r="F19" s="226"/>
      <c r="G19" s="226"/>
      <c r="H19" s="226"/>
      <c r="I19" s="226"/>
      <c r="J19" s="226"/>
      <c r="K19" s="226"/>
      <c r="L19" s="226"/>
      <c r="M19" s="226"/>
      <c r="N19" s="226"/>
      <c r="O19" s="227" t="s">
        <v>198</v>
      </c>
      <c r="P19" s="227"/>
      <c r="Q19" s="94"/>
    </row>
    <row r="20" spans="2:17" x14ac:dyDescent="0.25">
      <c r="B20" s="93"/>
      <c r="C20" s="107"/>
      <c r="D20" s="8"/>
      <c r="E20" s="8"/>
      <c r="F20" s="8"/>
      <c r="G20" s="8"/>
      <c r="H20" s="8"/>
      <c r="I20" s="8"/>
      <c r="J20" s="8"/>
      <c r="K20" s="8"/>
      <c r="L20" s="8"/>
      <c r="M20" s="8"/>
      <c r="N20" s="8"/>
      <c r="O20" s="8"/>
      <c r="P20" s="8"/>
      <c r="Q20" s="94"/>
    </row>
    <row r="21" spans="2:17" x14ac:dyDescent="0.25">
      <c r="B21" s="93"/>
      <c r="C21" s="107" t="str">
        <f>(C19+1)&amp;"."</f>
        <v>7.</v>
      </c>
      <c r="D21" s="226" t="s">
        <v>214</v>
      </c>
      <c r="E21" s="226"/>
      <c r="F21" s="226"/>
      <c r="G21" s="226"/>
      <c r="H21" s="226"/>
      <c r="I21" s="226"/>
      <c r="J21" s="226"/>
      <c r="K21" s="226"/>
      <c r="L21" s="226"/>
      <c r="O21" s="228" t="s">
        <v>122</v>
      </c>
      <c r="P21" s="228"/>
      <c r="Q21" s="94"/>
    </row>
    <row r="22" spans="2:17" x14ac:dyDescent="0.25">
      <c r="B22" s="93"/>
      <c r="C22" s="107"/>
      <c r="D22" s="8"/>
      <c r="E22" s="8"/>
      <c r="F22" s="8"/>
      <c r="G22" s="8"/>
      <c r="H22" s="8"/>
      <c r="I22" s="8"/>
      <c r="J22" s="8"/>
      <c r="K22" s="8"/>
      <c r="L22" s="8"/>
      <c r="M22" s="8"/>
      <c r="N22" s="8"/>
      <c r="O22" s="8"/>
      <c r="P22" s="8"/>
      <c r="Q22" s="94"/>
    </row>
    <row r="23" spans="2:17" x14ac:dyDescent="0.25">
      <c r="B23" s="93"/>
      <c r="C23" s="107" t="str">
        <f>(C21+1)&amp;"."</f>
        <v>8.</v>
      </c>
      <c r="D23" s="224" t="s">
        <v>196</v>
      </c>
      <c r="E23" s="224"/>
      <c r="F23" s="224"/>
      <c r="G23" s="224"/>
      <c r="H23" s="224"/>
      <c r="I23" s="224"/>
      <c r="J23" s="224"/>
      <c r="K23" s="224"/>
      <c r="L23" s="224"/>
      <c r="M23" s="224"/>
      <c r="N23" s="224"/>
      <c r="O23" s="224"/>
      <c r="P23" s="224"/>
      <c r="Q23" s="94"/>
    </row>
    <row r="24" spans="2:17" x14ac:dyDescent="0.25">
      <c r="B24" s="93"/>
      <c r="C24" s="108"/>
      <c r="D24" s="224"/>
      <c r="E24" s="224"/>
      <c r="F24" s="224"/>
      <c r="G24" s="224"/>
      <c r="H24" s="224"/>
      <c r="I24" s="224"/>
      <c r="J24" s="224"/>
      <c r="K24" s="224"/>
      <c r="L24" s="224"/>
      <c r="M24" s="224"/>
      <c r="N24" s="224"/>
      <c r="O24" s="224"/>
      <c r="P24" s="224"/>
      <c r="Q24" s="94"/>
    </row>
    <row r="25" spans="2:17" x14ac:dyDescent="0.25">
      <c r="B25" s="93"/>
      <c r="C25" s="107" t="str">
        <f>(C23+1)&amp;"."</f>
        <v>9.</v>
      </c>
      <c r="D25" s="224" t="s">
        <v>311</v>
      </c>
      <c r="E25" s="224"/>
      <c r="F25" s="224"/>
      <c r="G25" s="224"/>
      <c r="H25" s="224"/>
      <c r="I25" s="224"/>
      <c r="J25" s="224"/>
      <c r="K25" s="224"/>
      <c r="L25" s="224"/>
      <c r="M25" s="224"/>
      <c r="N25" s="224"/>
      <c r="O25" s="224"/>
      <c r="P25" s="224"/>
      <c r="Q25" s="94"/>
    </row>
    <row r="26" spans="2:17" x14ac:dyDescent="0.25">
      <c r="B26" s="93"/>
      <c r="C26" s="107"/>
      <c r="D26" s="8"/>
      <c r="E26" s="8"/>
      <c r="F26" s="8"/>
      <c r="G26" s="8"/>
      <c r="H26" s="8"/>
      <c r="I26" s="8"/>
      <c r="J26" s="8"/>
      <c r="K26" s="8"/>
      <c r="L26" s="8"/>
      <c r="M26" s="8"/>
      <c r="N26" s="8"/>
      <c r="O26" s="8"/>
      <c r="P26" s="8"/>
      <c r="Q26" s="94"/>
    </row>
    <row r="27" spans="2:17" ht="16.8" x14ac:dyDescent="0.25">
      <c r="B27" s="90"/>
      <c r="C27" s="112" t="s">
        <v>312</v>
      </c>
      <c r="D27" s="111"/>
      <c r="E27" s="111"/>
      <c r="F27" s="111"/>
      <c r="G27" s="111"/>
      <c r="H27" s="111"/>
      <c r="I27" s="111"/>
      <c r="J27" s="111"/>
      <c r="K27" s="111"/>
      <c r="L27" s="111"/>
      <c r="M27" s="111"/>
      <c r="N27" s="111"/>
      <c r="O27" s="111"/>
      <c r="P27" s="111"/>
      <c r="Q27" s="92"/>
    </row>
    <row r="28" spans="2:17" x14ac:dyDescent="0.25">
      <c r="B28" s="93"/>
      <c r="C28" s="107"/>
      <c r="D28" s="8"/>
      <c r="E28" s="8"/>
      <c r="F28" s="8"/>
      <c r="G28" s="8"/>
      <c r="H28" s="8"/>
      <c r="I28" s="8"/>
      <c r="J28" s="8"/>
      <c r="K28" s="8"/>
      <c r="L28" s="8"/>
      <c r="M28" s="8"/>
      <c r="N28" s="8"/>
      <c r="O28" s="8"/>
      <c r="P28" s="8"/>
      <c r="Q28" s="94"/>
    </row>
    <row r="29" spans="2:17" ht="25.5" customHeight="1" x14ac:dyDescent="0.25">
      <c r="B29" s="93"/>
      <c r="C29" s="107" t="str">
        <f>(C25+1)&amp;"."</f>
        <v>10.</v>
      </c>
      <c r="D29" s="224" t="s">
        <v>313</v>
      </c>
      <c r="E29" s="224"/>
      <c r="F29" s="224"/>
      <c r="G29" s="224"/>
      <c r="H29" s="224"/>
      <c r="I29" s="224"/>
      <c r="J29" s="224"/>
      <c r="K29" s="224"/>
      <c r="L29" s="224"/>
      <c r="M29" s="224"/>
      <c r="N29" s="224"/>
      <c r="O29" s="224"/>
      <c r="P29" s="224"/>
      <c r="Q29" s="94"/>
    </row>
    <row r="30" spans="2:17" x14ac:dyDescent="0.25">
      <c r="B30" s="93"/>
      <c r="C30" s="107"/>
      <c r="D30" s="8"/>
      <c r="E30" s="8"/>
      <c r="F30" s="8"/>
      <c r="G30" s="8"/>
      <c r="H30" s="8"/>
      <c r="I30" s="8"/>
      <c r="J30" s="8"/>
      <c r="K30" s="8"/>
      <c r="L30" s="8"/>
      <c r="M30" s="8"/>
      <c r="N30" s="8"/>
      <c r="O30" s="8"/>
      <c r="P30" s="8"/>
      <c r="Q30" s="94"/>
    </row>
    <row r="31" spans="2:17" ht="16.8" x14ac:dyDescent="0.25">
      <c r="B31" s="90"/>
      <c r="C31" s="110" t="s">
        <v>202</v>
      </c>
      <c r="D31" s="113"/>
      <c r="E31" s="113"/>
      <c r="F31" s="113"/>
      <c r="G31" s="113"/>
      <c r="H31" s="113"/>
      <c r="I31" s="113"/>
      <c r="J31" s="113"/>
      <c r="K31" s="113"/>
      <c r="L31" s="113"/>
      <c r="M31" s="113"/>
      <c r="N31" s="113"/>
      <c r="O31" s="113"/>
      <c r="P31" s="113"/>
      <c r="Q31" s="92"/>
    </row>
    <row r="32" spans="2:17" x14ac:dyDescent="0.25">
      <c r="B32" s="93"/>
      <c r="C32" s="108"/>
      <c r="D32" s="224"/>
      <c r="E32" s="224"/>
      <c r="F32" s="224"/>
      <c r="G32" s="224"/>
      <c r="H32" s="224"/>
      <c r="I32" s="224"/>
      <c r="J32" s="224"/>
      <c r="K32" s="224"/>
      <c r="L32" s="224"/>
      <c r="M32" s="224"/>
      <c r="N32" s="224"/>
      <c r="O32" s="224"/>
      <c r="P32" s="224"/>
      <c r="Q32" s="94"/>
    </row>
    <row r="33" spans="2:17" x14ac:dyDescent="0.25">
      <c r="B33" s="93"/>
      <c r="C33" s="107" t="str">
        <f>(C29+1)&amp;"."</f>
        <v>11.</v>
      </c>
      <c r="D33" s="226" t="s">
        <v>245</v>
      </c>
      <c r="E33" s="226"/>
      <c r="F33" s="226"/>
      <c r="G33" s="226"/>
      <c r="H33" s="226"/>
      <c r="I33" s="226"/>
      <c r="J33" s="226"/>
      <c r="K33" s="226"/>
      <c r="L33" s="226"/>
      <c r="O33" s="9"/>
      <c r="P33" s="9"/>
      <c r="Q33" s="94"/>
    </row>
    <row r="34" spans="2:17" x14ac:dyDescent="0.25">
      <c r="B34" s="93"/>
      <c r="Q34" s="94"/>
    </row>
    <row r="35" spans="2:17" x14ac:dyDescent="0.25">
      <c r="B35" s="93"/>
      <c r="D35" t="s">
        <v>248</v>
      </c>
      <c r="E35" s="212" t="s">
        <v>246</v>
      </c>
      <c r="F35" s="212"/>
      <c r="G35" s="212"/>
      <c r="H35" s="212"/>
      <c r="Q35" s="94"/>
    </row>
    <row r="36" spans="2:17" x14ac:dyDescent="0.25">
      <c r="B36" s="93"/>
      <c r="D36" t="s">
        <v>249</v>
      </c>
      <c r="E36" s="229" t="s">
        <v>247</v>
      </c>
      <c r="F36" s="229"/>
      <c r="Q36" s="94"/>
    </row>
    <row r="37" spans="2:17" x14ac:dyDescent="0.25">
      <c r="B37" s="101"/>
      <c r="C37" s="109"/>
      <c r="D37" s="102"/>
      <c r="E37" s="102"/>
      <c r="F37" s="102"/>
      <c r="G37" s="102"/>
      <c r="H37" s="102"/>
      <c r="I37" s="102"/>
      <c r="J37" s="102"/>
      <c r="K37" s="102"/>
      <c r="L37" s="102"/>
      <c r="M37" s="102"/>
      <c r="N37" s="102"/>
      <c r="O37" s="102"/>
      <c r="P37" s="102"/>
      <c r="Q37" s="103"/>
    </row>
    <row r="40" spans="2:17" x14ac:dyDescent="0.25">
      <c r="M40" s="9"/>
    </row>
    <row r="47" spans="2:17" x14ac:dyDescent="0.25">
      <c r="C47" s="194"/>
    </row>
  </sheetData>
  <sheetProtection algorithmName="SHA-512" hashValue="rTCCEsVGI+yJDIUP+LDgrllpV+FAWPJmd4Klk1fjWBfDI8jZu1PwgKLNR9GKkHlG/V5A1NujK9VFMKpG2pzbqw==" saltValue="xnzFFHuJ9mjMsoyn11mZug==" spinCount="100000" sheet="1" selectLockedCells="1"/>
  <mergeCells count="23">
    <mergeCell ref="D33:L33"/>
    <mergeCell ref="E36:F36"/>
    <mergeCell ref="E35:H35"/>
    <mergeCell ref="D13:P13"/>
    <mergeCell ref="D14:P14"/>
    <mergeCell ref="D18:P18"/>
    <mergeCell ref="D29:P29"/>
    <mergeCell ref="D7:P7"/>
    <mergeCell ref="D8:P8"/>
    <mergeCell ref="D9:P9"/>
    <mergeCell ref="D10:P10"/>
    <mergeCell ref="D11:P11"/>
    <mergeCell ref="D12:P12"/>
    <mergeCell ref="O17:P17"/>
    <mergeCell ref="D17:M17"/>
    <mergeCell ref="D32:P32"/>
    <mergeCell ref="O19:P19"/>
    <mergeCell ref="D23:P23"/>
    <mergeCell ref="D24:P24"/>
    <mergeCell ref="D25:P25"/>
    <mergeCell ref="D21:L21"/>
    <mergeCell ref="D19:N19"/>
    <mergeCell ref="O21:P21"/>
  </mergeCells>
  <hyperlinks>
    <hyperlink ref="E35" r:id="rId1" xr:uid="{00000000-0004-0000-0100-000000000000}"/>
  </hyperlinks>
  <pageMargins left="0.39370078740157483" right="0.39370078740157483" top="0.39370078740157483" bottom="0.39370078740157483" header="0.19685039370078741" footer="0.19685039370078741"/>
  <pageSetup paperSize="9" scale="99" orientation="landscape" r:id="rId2"/>
  <headerFooter>
    <oddHeader>&amp;L&amp;"Calibri"&amp;10&amp;K000000Official&amp;1#_x000D_&amp;"Calibri"&amp;11&amp;K000000&amp;9&amp;F</oddHeader>
    <oddFooter>&amp;R&amp;9Page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51"/>
  <sheetViews>
    <sheetView workbookViewId="0"/>
  </sheetViews>
  <sheetFormatPr defaultColWidth="9.109375" defaultRowHeight="20.399999999999999" x14ac:dyDescent="0.35"/>
  <cols>
    <col min="1" max="1" width="9.109375" style="33"/>
    <col min="2" max="3" width="21.33203125" style="32" customWidth="1"/>
    <col min="4" max="9" width="8.6640625" style="32" customWidth="1"/>
    <col min="10" max="10" width="14.6640625" style="32" customWidth="1"/>
    <col min="11" max="29" width="9.109375" style="33"/>
    <col min="30" max="16384" width="9.109375" style="32"/>
  </cols>
  <sheetData>
    <row r="1" spans="1:10" ht="21" x14ac:dyDescent="0.4">
      <c r="B1" s="419" t="s">
        <v>169</v>
      </c>
      <c r="C1" s="419"/>
      <c r="D1" s="419"/>
      <c r="E1" s="419"/>
      <c r="F1" s="419"/>
      <c r="G1" s="419"/>
      <c r="H1" s="419"/>
      <c r="I1" s="419"/>
      <c r="J1" s="419"/>
    </row>
    <row r="2" spans="1:10" ht="9.75" customHeight="1" x14ac:dyDescent="0.35">
      <c r="B2" s="33"/>
      <c r="C2" s="33"/>
      <c r="D2" s="33"/>
      <c r="E2" s="33"/>
      <c r="F2" s="33"/>
      <c r="G2" s="33"/>
      <c r="H2" s="33"/>
      <c r="I2" s="33"/>
      <c r="J2" s="33"/>
    </row>
    <row r="3" spans="1:10" x14ac:dyDescent="0.35">
      <c r="A3" s="34"/>
      <c r="B3" s="43" t="s">
        <v>168</v>
      </c>
      <c r="C3" s="427"/>
      <c r="D3" s="427"/>
      <c r="E3" s="427"/>
      <c r="F3" s="427"/>
      <c r="G3" s="427"/>
      <c r="H3" s="427"/>
      <c r="I3" s="427"/>
      <c r="J3" s="428"/>
    </row>
    <row r="4" spans="1:10" ht="6.75" customHeight="1" x14ac:dyDescent="0.35">
      <c r="A4" s="34"/>
      <c r="B4" s="44"/>
      <c r="C4" s="44"/>
      <c r="D4" s="44"/>
      <c r="E4" s="44"/>
      <c r="F4" s="44"/>
      <c r="G4" s="44"/>
      <c r="H4" s="44"/>
      <c r="I4" s="44"/>
      <c r="J4" s="44"/>
    </row>
    <row r="5" spans="1:10" x14ac:dyDescent="0.35">
      <c r="A5" s="34"/>
      <c r="B5" s="43" t="s">
        <v>167</v>
      </c>
      <c r="C5" s="427"/>
      <c r="D5" s="427"/>
      <c r="E5" s="427"/>
      <c r="F5" s="427"/>
      <c r="G5" s="427"/>
      <c r="H5" s="427"/>
      <c r="I5" s="427"/>
      <c r="J5" s="428"/>
    </row>
    <row r="6" spans="1:10" ht="7.5" customHeight="1" x14ac:dyDescent="0.35">
      <c r="A6" s="34"/>
      <c r="B6" s="34"/>
      <c r="C6" s="34"/>
      <c r="D6" s="34"/>
      <c r="E6" s="34"/>
      <c r="F6" s="34"/>
      <c r="G6" s="34"/>
      <c r="H6" s="34"/>
      <c r="I6" s="34"/>
      <c r="J6" s="34"/>
    </row>
    <row r="7" spans="1:10" x14ac:dyDescent="0.35">
      <c r="A7" s="34"/>
      <c r="B7" s="420" t="s">
        <v>27</v>
      </c>
      <c r="C7" s="420" t="s">
        <v>32</v>
      </c>
      <c r="D7" s="424" t="s">
        <v>105</v>
      </c>
      <c r="E7" s="425"/>
      <c r="F7" s="425"/>
      <c r="G7" s="425"/>
      <c r="H7" s="425"/>
      <c r="I7" s="426"/>
      <c r="J7" s="422" t="s">
        <v>26</v>
      </c>
    </row>
    <row r="8" spans="1:10" x14ac:dyDescent="0.35">
      <c r="A8" s="34"/>
      <c r="B8" s="421"/>
      <c r="C8" s="421"/>
      <c r="D8" s="40">
        <v>0</v>
      </c>
      <c r="E8" s="40">
        <v>1</v>
      </c>
      <c r="F8" s="40">
        <v>2</v>
      </c>
      <c r="G8" s="40">
        <v>3</v>
      </c>
      <c r="H8" s="40">
        <v>4</v>
      </c>
      <c r="I8" s="42" t="s">
        <v>106</v>
      </c>
      <c r="J8" s="423"/>
    </row>
    <row r="9" spans="1:10" x14ac:dyDescent="0.35">
      <c r="A9" s="34"/>
      <c r="B9" s="418" t="s">
        <v>28</v>
      </c>
      <c r="C9" s="41" t="s">
        <v>29</v>
      </c>
      <c r="D9" s="55">
        <f>'Development Details'!G28</f>
        <v>0</v>
      </c>
      <c r="E9" s="55">
        <f>'Development Details'!H28</f>
        <v>0</v>
      </c>
      <c r="F9" s="55">
        <f>'Development Details'!I28</f>
        <v>0</v>
      </c>
      <c r="G9" s="55">
        <f>'Development Details'!J28</f>
        <v>0</v>
      </c>
      <c r="H9" s="55">
        <f>'Development Details'!K28</f>
        <v>0</v>
      </c>
      <c r="I9" s="55">
        <f>'Development Details'!L28</f>
        <v>0</v>
      </c>
      <c r="J9" s="40">
        <f t="shared" ref="J9:J16" si="0">SUM(D9:I9)</f>
        <v>0</v>
      </c>
    </row>
    <row r="10" spans="1:10" x14ac:dyDescent="0.35">
      <c r="A10" s="34"/>
      <c r="B10" s="418"/>
      <c r="C10" s="41" t="s">
        <v>30</v>
      </c>
      <c r="D10" s="55">
        <f>'Development Details'!G29</f>
        <v>0</v>
      </c>
      <c r="E10" s="55">
        <f>'Development Details'!H29</f>
        <v>0</v>
      </c>
      <c r="F10" s="55">
        <f>'Development Details'!I29</f>
        <v>0</v>
      </c>
      <c r="G10" s="55">
        <f>'Development Details'!J29</f>
        <v>0</v>
      </c>
      <c r="H10" s="55">
        <f>'Development Details'!K29</f>
        <v>0</v>
      </c>
      <c r="I10" s="55">
        <f>'Development Details'!L29</f>
        <v>0</v>
      </c>
      <c r="J10" s="40">
        <f t="shared" si="0"/>
        <v>0</v>
      </c>
    </row>
    <row r="11" spans="1:10" x14ac:dyDescent="0.35">
      <c r="A11" s="34"/>
      <c r="B11" s="418"/>
      <c r="C11" s="41" t="s">
        <v>31</v>
      </c>
      <c r="D11" s="55">
        <f>'Development Details'!G30</f>
        <v>0</v>
      </c>
      <c r="E11" s="55">
        <f>'Development Details'!H30</f>
        <v>0</v>
      </c>
      <c r="F11" s="55">
        <f>'Development Details'!I30</f>
        <v>0</v>
      </c>
      <c r="G11" s="55">
        <f>'Development Details'!J30</f>
        <v>0</v>
      </c>
      <c r="H11" s="55">
        <f>'Development Details'!K30</f>
        <v>0</v>
      </c>
      <c r="I11" s="55">
        <f>'Development Details'!L30</f>
        <v>0</v>
      </c>
      <c r="J11" s="40">
        <f t="shared" si="0"/>
        <v>0</v>
      </c>
    </row>
    <row r="12" spans="1:10" x14ac:dyDescent="0.35">
      <c r="A12" s="34"/>
      <c r="B12" s="418"/>
      <c r="C12" s="40" t="s">
        <v>26</v>
      </c>
      <c r="D12" s="40">
        <f t="shared" ref="D12:I12" si="1">SUM(D9:D11)</f>
        <v>0</v>
      </c>
      <c r="E12" s="40">
        <f t="shared" si="1"/>
        <v>0</v>
      </c>
      <c r="F12" s="40">
        <f t="shared" si="1"/>
        <v>0</v>
      </c>
      <c r="G12" s="40">
        <f t="shared" si="1"/>
        <v>0</v>
      </c>
      <c r="H12" s="40">
        <f t="shared" si="1"/>
        <v>0</v>
      </c>
      <c r="I12" s="40">
        <f t="shared" si="1"/>
        <v>0</v>
      </c>
      <c r="J12" s="40">
        <f t="shared" si="0"/>
        <v>0</v>
      </c>
    </row>
    <row r="13" spans="1:10" x14ac:dyDescent="0.35">
      <c r="A13" s="34"/>
      <c r="B13" s="418" t="s">
        <v>33</v>
      </c>
      <c r="C13" s="41" t="s">
        <v>29</v>
      </c>
      <c r="D13" s="55">
        <f>'Development Details'!G32</f>
        <v>0</v>
      </c>
      <c r="E13" s="55">
        <f>'Development Details'!H32</f>
        <v>0</v>
      </c>
      <c r="F13" s="55">
        <f>'Development Details'!I32</f>
        <v>0</v>
      </c>
      <c r="G13" s="55">
        <f>'Development Details'!J32</f>
        <v>0</v>
      </c>
      <c r="H13" s="55">
        <f>'Development Details'!K32</f>
        <v>0</v>
      </c>
      <c r="I13" s="55">
        <f>'Development Details'!L32</f>
        <v>0</v>
      </c>
      <c r="J13" s="40">
        <f t="shared" si="0"/>
        <v>0</v>
      </c>
    </row>
    <row r="14" spans="1:10" x14ac:dyDescent="0.35">
      <c r="A14" s="34"/>
      <c r="B14" s="418"/>
      <c r="C14" s="41" t="s">
        <v>30</v>
      </c>
      <c r="D14" s="55">
        <f>'Development Details'!G33</f>
        <v>0</v>
      </c>
      <c r="E14" s="55">
        <f>'Development Details'!H33</f>
        <v>0</v>
      </c>
      <c r="F14" s="55">
        <f>'Development Details'!I33</f>
        <v>0</v>
      </c>
      <c r="G14" s="55">
        <f>'Development Details'!J33</f>
        <v>0</v>
      </c>
      <c r="H14" s="55">
        <f>'Development Details'!K33</f>
        <v>0</v>
      </c>
      <c r="I14" s="55">
        <f>'Development Details'!L33</f>
        <v>0</v>
      </c>
      <c r="J14" s="40">
        <f t="shared" si="0"/>
        <v>0</v>
      </c>
    </row>
    <row r="15" spans="1:10" x14ac:dyDescent="0.35">
      <c r="A15" s="34"/>
      <c r="B15" s="418"/>
      <c r="C15" s="41" t="s">
        <v>31</v>
      </c>
      <c r="D15" s="55">
        <f>'Development Details'!G34</f>
        <v>0</v>
      </c>
      <c r="E15" s="55">
        <f>'Development Details'!H34</f>
        <v>0</v>
      </c>
      <c r="F15" s="55">
        <f>'Development Details'!I34</f>
        <v>0</v>
      </c>
      <c r="G15" s="55">
        <f>'Development Details'!J34</f>
        <v>0</v>
      </c>
      <c r="H15" s="55">
        <f>'Development Details'!K34</f>
        <v>0</v>
      </c>
      <c r="I15" s="55">
        <f>'Development Details'!L34</f>
        <v>0</v>
      </c>
      <c r="J15" s="40">
        <f t="shared" si="0"/>
        <v>0</v>
      </c>
    </row>
    <row r="16" spans="1:10" x14ac:dyDescent="0.35">
      <c r="A16" s="34"/>
      <c r="B16" s="418"/>
      <c r="C16" s="40" t="s">
        <v>26</v>
      </c>
      <c r="D16" s="40">
        <f t="shared" ref="D16:I16" si="2">SUM(D13:D15)</f>
        <v>0</v>
      </c>
      <c r="E16" s="40">
        <f t="shared" si="2"/>
        <v>0</v>
      </c>
      <c r="F16" s="40">
        <f t="shared" si="2"/>
        <v>0</v>
      </c>
      <c r="G16" s="40">
        <f t="shared" si="2"/>
        <v>0</v>
      </c>
      <c r="H16" s="40">
        <f t="shared" si="2"/>
        <v>0</v>
      </c>
      <c r="I16" s="40">
        <f t="shared" si="2"/>
        <v>0</v>
      </c>
      <c r="J16" s="40">
        <f t="shared" si="0"/>
        <v>0</v>
      </c>
    </row>
    <row r="17" spans="1:10" x14ac:dyDescent="0.35">
      <c r="A17" s="34"/>
      <c r="B17" s="416" t="s">
        <v>26</v>
      </c>
      <c r="C17" s="417"/>
      <c r="D17" s="40">
        <f t="shared" ref="D17:J17" si="3">+D16+D12</f>
        <v>0</v>
      </c>
      <c r="E17" s="40">
        <f t="shared" si="3"/>
        <v>0</v>
      </c>
      <c r="F17" s="40">
        <f t="shared" si="3"/>
        <v>0</v>
      </c>
      <c r="G17" s="40">
        <f t="shared" si="3"/>
        <v>0</v>
      </c>
      <c r="H17" s="40">
        <f t="shared" si="3"/>
        <v>0</v>
      </c>
      <c r="I17" s="40">
        <f t="shared" si="3"/>
        <v>0</v>
      </c>
      <c r="J17" s="40">
        <f t="shared" si="3"/>
        <v>0</v>
      </c>
    </row>
    <row r="18" spans="1:10" ht="14.25" customHeight="1" x14ac:dyDescent="0.35">
      <c r="A18" s="34"/>
      <c r="B18" s="34"/>
      <c r="C18" s="34"/>
      <c r="D18" s="34"/>
      <c r="E18" s="34"/>
      <c r="F18" s="34"/>
      <c r="G18" s="34"/>
      <c r="H18" s="34"/>
      <c r="I18" s="34"/>
      <c r="J18" s="34"/>
    </row>
    <row r="19" spans="1:10" x14ac:dyDescent="0.35">
      <c r="A19" s="34"/>
      <c r="B19" s="38" t="s">
        <v>166</v>
      </c>
      <c r="C19" s="38" t="s">
        <v>165</v>
      </c>
      <c r="D19" s="37"/>
      <c r="E19" s="37"/>
      <c r="F19" s="37"/>
      <c r="G19" s="34"/>
      <c r="H19" s="34"/>
      <c r="I19" s="34"/>
      <c r="J19" s="34"/>
    </row>
    <row r="20" spans="1:10" x14ac:dyDescent="0.35">
      <c r="A20" s="34"/>
      <c r="B20" s="38" t="e">
        <f>(J10+J11+J14+J15)/J17</f>
        <v>#DIV/0!</v>
      </c>
      <c r="C20" s="39" t="e">
        <f>1-C21</f>
        <v>#DIV/0!</v>
      </c>
      <c r="D20" s="415" t="s">
        <v>30</v>
      </c>
      <c r="E20" s="415"/>
      <c r="F20" s="415"/>
      <c r="G20" s="34"/>
      <c r="H20" s="34"/>
      <c r="I20" s="34"/>
      <c r="J20" s="34"/>
    </row>
    <row r="21" spans="1:10" x14ac:dyDescent="0.35">
      <c r="A21" s="34"/>
      <c r="B21" s="37"/>
      <c r="C21" s="38" t="e">
        <f>(J11+J15)/(J10+J11+J14+J15)</f>
        <v>#DIV/0!</v>
      </c>
      <c r="D21" s="37" t="s">
        <v>31</v>
      </c>
      <c r="E21" s="37"/>
      <c r="F21" s="37"/>
      <c r="G21" s="34"/>
      <c r="H21" s="34"/>
      <c r="I21" s="34"/>
      <c r="J21" s="34"/>
    </row>
    <row r="22" spans="1:10" ht="4.5" customHeight="1" x14ac:dyDescent="0.35">
      <c r="A22" s="34"/>
      <c r="B22" s="34"/>
      <c r="C22" s="34"/>
      <c r="D22" s="34"/>
      <c r="E22" s="34"/>
      <c r="F22" s="34"/>
      <c r="G22" s="34"/>
      <c r="H22" s="34"/>
      <c r="I22" s="34"/>
      <c r="J22" s="34"/>
    </row>
    <row r="23" spans="1:10" ht="16.5" customHeight="1" x14ac:dyDescent="0.35">
      <c r="A23" s="34"/>
      <c r="B23" s="36" t="s">
        <v>99</v>
      </c>
      <c r="C23" s="34"/>
      <c r="D23" s="34"/>
      <c r="E23" s="34"/>
      <c r="F23" s="34"/>
      <c r="G23" s="34"/>
      <c r="H23" s="34"/>
      <c r="I23" s="34"/>
      <c r="J23" s="34"/>
    </row>
    <row r="24" spans="1:10" x14ac:dyDescent="0.35">
      <c r="A24" s="34"/>
      <c r="B24" s="35" t="s">
        <v>164</v>
      </c>
      <c r="C24" s="34"/>
      <c r="D24" s="34"/>
      <c r="E24" s="34"/>
      <c r="F24" s="34"/>
      <c r="G24" s="34"/>
      <c r="H24" s="34"/>
      <c r="I24" s="34"/>
      <c r="J24" s="34"/>
    </row>
    <row r="25" spans="1:10" x14ac:dyDescent="0.35">
      <c r="A25" s="34"/>
      <c r="B25" s="35" t="s">
        <v>163</v>
      </c>
      <c r="C25" s="34"/>
      <c r="D25" s="34"/>
      <c r="E25" s="34"/>
      <c r="F25" s="34"/>
      <c r="G25" s="34"/>
      <c r="H25" s="34"/>
      <c r="I25" s="34"/>
      <c r="J25" s="34"/>
    </row>
    <row r="26" spans="1:10" x14ac:dyDescent="0.35">
      <c r="A26" s="34"/>
      <c r="B26" s="35" t="s">
        <v>162</v>
      </c>
      <c r="C26" s="34"/>
      <c r="D26" s="34"/>
      <c r="E26" s="34"/>
      <c r="F26" s="34"/>
      <c r="G26" s="34"/>
      <c r="H26" s="34"/>
      <c r="I26" s="34"/>
      <c r="J26" s="34"/>
    </row>
    <row r="27" spans="1:10" x14ac:dyDescent="0.35">
      <c r="B27" s="33"/>
      <c r="C27" s="33"/>
      <c r="D27" s="33"/>
      <c r="E27" s="33"/>
      <c r="F27" s="33"/>
      <c r="G27" s="33"/>
      <c r="H27" s="33"/>
      <c r="I27" s="33"/>
      <c r="J27" s="33"/>
    </row>
    <row r="28" spans="1:10" x14ac:dyDescent="0.35">
      <c r="B28" s="33"/>
      <c r="C28" s="33"/>
      <c r="D28" s="33"/>
      <c r="E28" s="33"/>
      <c r="F28" s="33"/>
      <c r="G28" s="33"/>
      <c r="H28" s="33"/>
      <c r="I28" s="33"/>
      <c r="J28" s="33"/>
    </row>
    <row r="29" spans="1:10" x14ac:dyDescent="0.35">
      <c r="B29" s="33"/>
      <c r="C29" s="33"/>
      <c r="D29" s="33"/>
      <c r="E29" s="33"/>
      <c r="F29" s="33"/>
      <c r="G29" s="33"/>
      <c r="H29" s="33"/>
      <c r="I29" s="33"/>
      <c r="J29" s="33"/>
    </row>
    <row r="30" spans="1:10" x14ac:dyDescent="0.35">
      <c r="B30" s="33"/>
      <c r="C30" s="33"/>
      <c r="D30" s="33"/>
      <c r="E30" s="33"/>
      <c r="F30" s="33"/>
      <c r="G30" s="33"/>
      <c r="H30" s="33"/>
      <c r="I30" s="33"/>
      <c r="J30" s="33"/>
    </row>
    <row r="31" spans="1:10" x14ac:dyDescent="0.35">
      <c r="B31" s="33"/>
      <c r="C31" s="33"/>
      <c r="D31" s="33"/>
      <c r="E31" s="33"/>
      <c r="F31" s="33"/>
      <c r="G31" s="33"/>
      <c r="H31" s="33"/>
      <c r="I31" s="33"/>
      <c r="J31" s="33"/>
    </row>
    <row r="32" spans="1:10" x14ac:dyDescent="0.35">
      <c r="B32" s="33"/>
      <c r="C32" s="33"/>
      <c r="D32" s="33"/>
      <c r="E32" s="33"/>
      <c r="F32" s="33"/>
      <c r="G32" s="33"/>
      <c r="H32" s="33"/>
      <c r="I32" s="33"/>
      <c r="J32" s="33"/>
    </row>
    <row r="33" s="33" customFormat="1" x14ac:dyDescent="0.35"/>
    <row r="34" s="33" customFormat="1" x14ac:dyDescent="0.35"/>
    <row r="35" s="33" customFormat="1" x14ac:dyDescent="0.35"/>
    <row r="36" s="33" customFormat="1" x14ac:dyDescent="0.35"/>
    <row r="37" s="33" customFormat="1" x14ac:dyDescent="0.35"/>
    <row r="38" s="33" customFormat="1" x14ac:dyDescent="0.35"/>
    <row r="39" s="33" customFormat="1" x14ac:dyDescent="0.35"/>
    <row r="40" s="33" customFormat="1" x14ac:dyDescent="0.35"/>
    <row r="41" s="33" customFormat="1" x14ac:dyDescent="0.35"/>
    <row r="42" s="33" customFormat="1" x14ac:dyDescent="0.35"/>
    <row r="43" s="33" customFormat="1" x14ac:dyDescent="0.35"/>
    <row r="44" s="33" customFormat="1" x14ac:dyDescent="0.35"/>
    <row r="45" s="33" customFormat="1" x14ac:dyDescent="0.35"/>
    <row r="46" s="33" customFormat="1" x14ac:dyDescent="0.35"/>
    <row r="47" s="33" customFormat="1" x14ac:dyDescent="0.35"/>
    <row r="48" s="33" customFormat="1" x14ac:dyDescent="0.35"/>
    <row r="49" s="33" customFormat="1" x14ac:dyDescent="0.35"/>
    <row r="50" s="33" customFormat="1" x14ac:dyDescent="0.35"/>
    <row r="51" s="33" customFormat="1" x14ac:dyDescent="0.35"/>
  </sheetData>
  <sheetProtection selectLockedCells="1"/>
  <mergeCells count="11">
    <mergeCell ref="D20:F20"/>
    <mergeCell ref="B17:C17"/>
    <mergeCell ref="B9:B12"/>
    <mergeCell ref="B13:B16"/>
    <mergeCell ref="B1:J1"/>
    <mergeCell ref="B7:B8"/>
    <mergeCell ref="C7:C8"/>
    <mergeCell ref="J7:J8"/>
    <mergeCell ref="D7:I7"/>
    <mergeCell ref="C3:J3"/>
    <mergeCell ref="C5:J5"/>
  </mergeCells>
  <pageMargins left="0.75" right="0.75" top="1" bottom="1" header="0.5" footer="0.5"/>
  <pageSetup paperSize="9" orientation="landscape" r:id="rId1"/>
  <headerFooter alignWithMargins="0">
    <oddHeader>&amp;L&amp;"Calibri"&amp;10&amp;K000000Official&amp;1#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54"/>
  <sheetViews>
    <sheetView workbookViewId="0"/>
  </sheetViews>
  <sheetFormatPr defaultColWidth="9.109375" defaultRowHeight="20.399999999999999" x14ac:dyDescent="0.35"/>
  <cols>
    <col min="1" max="1" width="9.109375" style="33"/>
    <col min="2" max="2" width="13.44140625" style="32" customWidth="1"/>
    <col min="3" max="3" width="13.6640625" style="32" customWidth="1"/>
    <col min="4" max="4" width="19.5546875" style="32" customWidth="1"/>
    <col min="5" max="5" width="21.44140625" style="32" customWidth="1"/>
    <col min="6" max="6" width="10.6640625" style="32" customWidth="1"/>
    <col min="7" max="7" width="9.109375" style="33"/>
    <col min="8" max="8" width="10.44140625" style="33" customWidth="1"/>
    <col min="9" max="9" width="13.6640625" style="33" customWidth="1"/>
    <col min="10" max="10" width="19.5546875" style="33" customWidth="1"/>
    <col min="11" max="11" width="21.44140625" style="33" customWidth="1"/>
    <col min="12" max="12" width="10.6640625" style="33" customWidth="1"/>
    <col min="13" max="33" width="9.109375" style="33"/>
    <col min="34" max="16384" width="9.109375" style="32"/>
  </cols>
  <sheetData>
    <row r="1" spans="2:12" ht="22.8" x14ac:dyDescent="0.4">
      <c r="B1" s="430">
        <f>+'Population Development Matrix'!C3</f>
        <v>0</v>
      </c>
      <c r="C1" s="430"/>
      <c r="D1" s="430"/>
      <c r="E1" s="430"/>
      <c r="F1" s="430"/>
      <c r="G1" s="430"/>
      <c r="H1" s="430"/>
      <c r="I1" s="430"/>
      <c r="J1" s="430"/>
      <c r="K1" s="431">
        <f>+'Population Development Matrix'!C5</f>
        <v>0</v>
      </c>
      <c r="L1" s="431"/>
    </row>
    <row r="2" spans="2:12" ht="6.75" customHeight="1" x14ac:dyDescent="0.4">
      <c r="B2" s="53"/>
      <c r="C2" s="53"/>
      <c r="D2" s="53"/>
      <c r="E2" s="53"/>
      <c r="F2" s="53"/>
      <c r="G2" s="53"/>
      <c r="H2" s="53"/>
      <c r="I2" s="53"/>
      <c r="J2" s="53"/>
      <c r="K2" s="53"/>
      <c r="L2" s="53"/>
    </row>
    <row r="3" spans="2:12" ht="12" customHeight="1" x14ac:dyDescent="0.35">
      <c r="B3" s="33"/>
      <c r="C3" s="33"/>
      <c r="D3" s="33"/>
      <c r="E3" s="33"/>
      <c r="F3" s="33"/>
    </row>
    <row r="4" spans="2:12" ht="21" x14ac:dyDescent="0.4">
      <c r="B4" s="419" t="s">
        <v>176</v>
      </c>
      <c r="C4" s="419"/>
      <c r="D4" s="419"/>
      <c r="E4" s="419"/>
      <c r="F4" s="419"/>
      <c r="H4" s="419" t="s">
        <v>175</v>
      </c>
      <c r="I4" s="419"/>
      <c r="J4" s="419"/>
      <c r="K4" s="419"/>
      <c r="L4" s="419"/>
    </row>
    <row r="5" spans="2:12" ht="21" x14ac:dyDescent="0.4">
      <c r="B5" s="33"/>
      <c r="C5" s="33"/>
      <c r="D5" s="31"/>
      <c r="E5" s="33"/>
      <c r="F5" s="33"/>
      <c r="J5" s="31"/>
    </row>
    <row r="6" spans="2:12" ht="21" x14ac:dyDescent="0.4">
      <c r="B6" s="51" t="s">
        <v>131</v>
      </c>
      <c r="C6" s="47" t="s">
        <v>29</v>
      </c>
      <c r="D6" s="47" t="s">
        <v>30</v>
      </c>
      <c r="E6" s="47" t="s">
        <v>31</v>
      </c>
      <c r="F6" s="50" t="s">
        <v>26</v>
      </c>
      <c r="H6" s="51" t="s">
        <v>131</v>
      </c>
      <c r="I6" s="47" t="s">
        <v>29</v>
      </c>
      <c r="J6" s="47" t="s">
        <v>30</v>
      </c>
      <c r="K6" s="47" t="s">
        <v>31</v>
      </c>
      <c r="L6" s="50" t="s">
        <v>26</v>
      </c>
    </row>
    <row r="7" spans="2:12" ht="21" x14ac:dyDescent="0.4">
      <c r="B7" s="47" t="s">
        <v>134</v>
      </c>
      <c r="C7" s="52">
        <f>('Population Development Matrix'!$D$9*'Population 2004 Yield'!B6)+('Population Development Matrix'!$E$9*'Population 2004 Yield'!C6)+('Population Development Matrix'!$F$9*'Population 2004 Yield'!D6)+('Population Development Matrix'!$G$9*'Population 2004 Yield'!E6)+('Population Development Matrix'!$H$9*'Population 2004 Yield'!F6)+('Population Development Matrix'!$I$9*'Population 2004 Yield'!G6)+('Population Development Matrix'!$D$13*'Population 2004 Yield'!J6)+('Population Development Matrix'!$E$13*'Population 2004 Yield'!K6)+('Population Development Matrix'!$F$13*'Population 2004 Yield'!L6)+('Population Development Matrix'!$G$13*'Population 2004 Yield'!M6)+('Population Development Matrix'!$H$13*'Population 2004 Yield'!N6)+('Population Development Matrix'!$I$13*'Population 2004 Yield'!O6)</f>
        <v>0</v>
      </c>
      <c r="D7" s="52">
        <f>('Population Development Matrix'!$D$10*'Population 2004 Yield'!B21)+('Population Development Matrix'!$E$10*'Population 2004 Yield'!C21)+('Population Development Matrix'!$F$10*'Population 2004 Yield'!D21)+('Population Development Matrix'!$G$10*'Population 2004 Yield'!E21)+('Population Development Matrix'!$H$10*'Population 2004 Yield'!F21)+('Population Development Matrix'!$I$10*'Population 2004 Yield'!G21)+('Population Development Matrix'!$D$14*'Population 2004 Yield'!J21)+('Population Development Matrix'!$E$14*'Population 2004 Yield'!K21)+('Population Development Matrix'!$F$14*'Population 2004 Yield'!L21)+('Population Development Matrix'!$G$14*'Population 2004 Yield'!M21)+('Population Development Matrix'!$H$14*'Population 2004 Yield'!N21)+('Population Development Matrix'!$I$14*'Population 2004 Yield'!O21)</f>
        <v>0</v>
      </c>
      <c r="E7" s="52">
        <f>('Population Development Matrix'!$D$11*'Population 2004 Yield'!B36)+('Population Development Matrix'!$E$11*'Population 2004 Yield'!C36)+('Population Development Matrix'!$F$11*'Population 2004 Yield'!D36)+('Population Development Matrix'!$G$11*'Population 2004 Yield'!E36)+('Population Development Matrix'!$H$11*'Population 2004 Yield'!F36)+('Population Development Matrix'!$I$11*'Population 2004 Yield'!G36)+('Population Development Matrix'!$D$15*'Population 2004 Yield'!J36)+('Population Development Matrix'!$E$15*'Population 2004 Yield'!K36)+('Population Development Matrix'!$F$15*'Population 2004 Yield'!L36)+('Population Development Matrix'!$G$15*'Population 2004 Yield'!M36)+('Population Development Matrix'!$H$15*'Population 2004 Yield'!N36)+('Population Development Matrix'!$I$15*'Population 2004 Yield'!O36)</f>
        <v>0</v>
      </c>
      <c r="F7" s="46">
        <f t="shared" ref="F7:F17" si="0">SUM(C7:E7)</f>
        <v>0</v>
      </c>
      <c r="H7" s="47" t="s">
        <v>134</v>
      </c>
      <c r="I7" s="52">
        <f>('Population Development Matrix'!$D$9*'Population 2007 Yield'!B6)+('Population Development Matrix'!$E$9*'Population 2007 Yield'!C6)+('Population Development Matrix'!$F$9*'Population 2007 Yield'!D6)+('Population Development Matrix'!$G$9*'Population 2007 Yield'!E6)+('Population Development Matrix'!$H$9*'Population 2007 Yield'!F6)+('Population Development Matrix'!$I$9*'Population 2007 Yield'!G6)+('Population Development Matrix'!$D$13*'Population 2007 Yield'!J6)+('Population Development Matrix'!$E$13*'Population 2007 Yield'!K6)+('Population Development Matrix'!$F$13*'Population 2007 Yield'!L6)+('Population Development Matrix'!$G$13*'Population 2007 Yield'!M6)+('Population Development Matrix'!$H$13*'Population 2007 Yield'!N6)+('Population Development Matrix'!$I$13*'Population 2007 Yield'!O6)</f>
        <v>0</v>
      </c>
      <c r="J7" s="52">
        <f>('Population Development Matrix'!$D$10*'Population 2007 Yield'!B21)+('Population Development Matrix'!$E$10*'Population 2007 Yield'!C21)+('Population Development Matrix'!$F$10*'Population 2007 Yield'!D21)+('Population Development Matrix'!$G$10*'Population 2007 Yield'!E21)+('Population Development Matrix'!$H$10*'Population 2007 Yield'!F21)+('Population Development Matrix'!$I$10*'Population 2007 Yield'!G21)+('Population Development Matrix'!$D$14*'Population 2007 Yield'!J21)+('Population Development Matrix'!$E$14*'Population 2007 Yield'!K21)+('Population Development Matrix'!$F$14*'Population 2007 Yield'!L21)+('Population Development Matrix'!$G$14*'Population 2007 Yield'!M21)+('Population Development Matrix'!$H$14*'Population 2007 Yield'!N21)+('Population Development Matrix'!$I$14*'Population 2007 Yield'!O21)</f>
        <v>0</v>
      </c>
      <c r="K7" s="52">
        <f>('Population Development Matrix'!$D$11*'Population 2007 Yield'!B36)+('Population Development Matrix'!$E$11*'Population 2007 Yield'!C36)+('Population Development Matrix'!$F$11*'Population 2007 Yield'!D36)+('Population Development Matrix'!$G$11*'Population 2007 Yield'!E36)+('Population Development Matrix'!$H$11*'Population 2007 Yield'!F36)+('Population Development Matrix'!$I$11*'Population 2007 Yield'!G36)+('Population Development Matrix'!$D$15*'Population 2007 Yield'!J36)+('Population Development Matrix'!$E$15*'Population 2007 Yield'!K36)+('Population Development Matrix'!$F$15*'Population 2007 Yield'!L36)+('Population Development Matrix'!$G$15*'Population 2007 Yield'!M36)+('Population Development Matrix'!$H$15*'Population 2007 Yield'!N36)+('Population Development Matrix'!$I$15*'Population 2007 Yield'!O36)</f>
        <v>0</v>
      </c>
      <c r="L7" s="46">
        <f t="shared" ref="L7:L17" si="1">SUM(I7:K7)</f>
        <v>0</v>
      </c>
    </row>
    <row r="8" spans="2:12" ht="21" x14ac:dyDescent="0.4">
      <c r="B8" s="49" t="s">
        <v>136</v>
      </c>
      <c r="C8" s="52">
        <f>('Population Development Matrix'!$D$9*'Population 2004 Yield'!B7)+('Population Development Matrix'!$E$9*'Population 2004 Yield'!C7)+('Population Development Matrix'!$F$9*'Population 2004 Yield'!D7)+('Population Development Matrix'!$G$9*'Population 2004 Yield'!E7)+('Population Development Matrix'!$H$9*'Population 2004 Yield'!F7)+('Population Development Matrix'!$I$9*'Population 2004 Yield'!G7)+('Population Development Matrix'!$D$13*'Population 2004 Yield'!J7)+('Population Development Matrix'!$E$13*'Population 2004 Yield'!K7)+('Population Development Matrix'!$F$13*'Population 2004 Yield'!L7)+('Population Development Matrix'!$G$13*'Population 2004 Yield'!M7)+('Population Development Matrix'!$H$13*'Population 2004 Yield'!N7)+('Population Development Matrix'!$I$13*'Population 2004 Yield'!O7)</f>
        <v>0</v>
      </c>
      <c r="D8" s="52">
        <f>('Population Development Matrix'!$D$10*'Population 2004 Yield'!B22)+('Population Development Matrix'!$E$10*'Population 2004 Yield'!C22)+('Population Development Matrix'!$F$10*'Population 2004 Yield'!D22)+('Population Development Matrix'!$G$10*'Population 2004 Yield'!E22)+('Population Development Matrix'!$H$10*'Population 2004 Yield'!F22)+('Population Development Matrix'!$I$10*'Population 2004 Yield'!G22)+('Population Development Matrix'!$D$14*'Population 2004 Yield'!J22)+('Population Development Matrix'!$E$14*'Population 2004 Yield'!K22)+('Population Development Matrix'!$F$14*'Population 2004 Yield'!L22)+('Population Development Matrix'!$G$14*'Population 2004 Yield'!M22)+('Population Development Matrix'!$H$14*'Population 2004 Yield'!N22)+('Population Development Matrix'!$I$14*'Population 2004 Yield'!O22)</f>
        <v>0</v>
      </c>
      <c r="E8" s="52">
        <f>('Population Development Matrix'!$D$11*'Population 2004 Yield'!B37)+('Population Development Matrix'!$E$11*'Population 2004 Yield'!C37)+('Population Development Matrix'!$F$11*'Population 2004 Yield'!D37)+('Population Development Matrix'!$G$11*'Population 2004 Yield'!E37)+('Population Development Matrix'!$H$11*'Population 2004 Yield'!F37)+('Population Development Matrix'!$I$11*'Population 2004 Yield'!G37)+('Population Development Matrix'!$D$15*'Population 2004 Yield'!J37)+('Population Development Matrix'!$E$15*'Population 2004 Yield'!K37)+('Population Development Matrix'!$F$15*'Population 2004 Yield'!L37)+('Population Development Matrix'!$G$15*'Population 2004 Yield'!M37)+('Population Development Matrix'!$H$15*'Population 2004 Yield'!N37)+('Population Development Matrix'!$I$15*'Population 2004 Yield'!O37)</f>
        <v>0</v>
      </c>
      <c r="F8" s="46">
        <f t="shared" si="0"/>
        <v>0</v>
      </c>
      <c r="H8" s="49" t="s">
        <v>136</v>
      </c>
      <c r="I8" s="52">
        <f>('Population Development Matrix'!$D$9*'Population 2007 Yield'!B7)+('Population Development Matrix'!$E$9*'Population 2007 Yield'!C7)+('Population Development Matrix'!$F$9*'Population 2007 Yield'!D7)+('Population Development Matrix'!$G$9*'Population 2007 Yield'!E7)+('Population Development Matrix'!$H$9*'Population 2007 Yield'!F7)+('Population Development Matrix'!$I$9*'Population 2007 Yield'!G7)+('Population Development Matrix'!$D$13*'Population 2007 Yield'!J7)+('Population Development Matrix'!$E$13*'Population 2007 Yield'!K7)+('Population Development Matrix'!$F$13*'Population 2007 Yield'!L7)+('Population Development Matrix'!$G$13*'Population 2007 Yield'!M7)+('Population Development Matrix'!$H$13*'Population 2007 Yield'!N7)+('Population Development Matrix'!$I$13*'Population 2007 Yield'!O7)</f>
        <v>0</v>
      </c>
      <c r="J8" s="52">
        <f>('Population Development Matrix'!$D$10*'Population 2007 Yield'!B22)+('Population Development Matrix'!$E$10*'Population 2007 Yield'!C22)+('Population Development Matrix'!$F$10*'Population 2007 Yield'!D22)+('Population Development Matrix'!$G$10*'Population 2007 Yield'!E22)+('Population Development Matrix'!$H$10*'Population 2007 Yield'!F22)+('Population Development Matrix'!$I$10*'Population 2007 Yield'!G22)+('Population Development Matrix'!$D$14*'Population 2007 Yield'!J22)+('Population Development Matrix'!$E$14*'Population 2007 Yield'!K22)+('Population Development Matrix'!$F$14*'Population 2007 Yield'!L22)+('Population Development Matrix'!$G$14*'Population 2007 Yield'!M22)+('Population Development Matrix'!$H$14*'Population 2007 Yield'!N22)+('Population Development Matrix'!$I$14*'Population 2007 Yield'!O22)</f>
        <v>0</v>
      </c>
      <c r="K8" s="52">
        <f>('Population Development Matrix'!$D$11*'Population 2007 Yield'!B37)+('Population Development Matrix'!$E$11*'Population 2007 Yield'!C37)+('Population Development Matrix'!$F$11*'Population 2007 Yield'!D37)+('Population Development Matrix'!$G$11*'Population 2007 Yield'!E37)+('Population Development Matrix'!$H$11*'Population 2007 Yield'!F37)+('Population Development Matrix'!$I$11*'Population 2007 Yield'!G37)+('Population Development Matrix'!$D$15*'Population 2007 Yield'!J37)+('Population Development Matrix'!$E$15*'Population 2007 Yield'!K37)+('Population Development Matrix'!$F$15*'Population 2007 Yield'!L37)+('Population Development Matrix'!$G$15*'Population 2007 Yield'!M37)+('Population Development Matrix'!$H$15*'Population 2007 Yield'!N37)+('Population Development Matrix'!$I$15*'Population 2007 Yield'!O37)</f>
        <v>0</v>
      </c>
      <c r="L8" s="46">
        <f t="shared" si="1"/>
        <v>0</v>
      </c>
    </row>
    <row r="9" spans="2:12" ht="21" x14ac:dyDescent="0.4">
      <c r="B9" s="49" t="s">
        <v>138</v>
      </c>
      <c r="C9" s="52">
        <f>('Population Development Matrix'!$D$9*'Population 2004 Yield'!B8)+('Population Development Matrix'!$E$9*'Population 2004 Yield'!C8)+('Population Development Matrix'!$F$9*'Population 2004 Yield'!D8)+('Population Development Matrix'!$G$9*'Population 2004 Yield'!E8)+('Population Development Matrix'!$H$9*'Population 2004 Yield'!F8)+('Population Development Matrix'!$I$9*'Population 2004 Yield'!G8)+('Population Development Matrix'!$D$13*'Population 2004 Yield'!J8)+('Population Development Matrix'!$E$13*'Population 2004 Yield'!K8)+('Population Development Matrix'!$F$13*'Population 2004 Yield'!L8)+('Population Development Matrix'!$G$13*'Population 2004 Yield'!M8)+('Population Development Matrix'!$H$13*'Population 2004 Yield'!N8)+('Population Development Matrix'!$I$13*'Population 2004 Yield'!O8)</f>
        <v>0</v>
      </c>
      <c r="D9" s="52">
        <f>('Population Development Matrix'!$D$10*'Population 2004 Yield'!B23)+('Population Development Matrix'!$E$10*'Population 2004 Yield'!C23)+('Population Development Matrix'!$F$10*'Population 2004 Yield'!D23)+('Population Development Matrix'!$G$10*'Population 2004 Yield'!E23)+('Population Development Matrix'!$H$10*'Population 2004 Yield'!F23)+('Population Development Matrix'!$I$10*'Population 2004 Yield'!G23)+('Population Development Matrix'!$D$14*'Population 2004 Yield'!J23)+('Population Development Matrix'!$E$14*'Population 2004 Yield'!K23)+('Population Development Matrix'!$F$14*'Population 2004 Yield'!L23)+('Population Development Matrix'!$G$14*'Population 2004 Yield'!M23)+('Population Development Matrix'!$H$14*'Population 2004 Yield'!N23)+('Population Development Matrix'!$I$14*'Population 2004 Yield'!O23)</f>
        <v>0</v>
      </c>
      <c r="E9" s="52">
        <f>('Population Development Matrix'!$D$11*'Population 2004 Yield'!B38)+('Population Development Matrix'!$E$11*'Population 2004 Yield'!C38)+('Population Development Matrix'!$F$11*'Population 2004 Yield'!D38)+('Population Development Matrix'!$G$11*'Population 2004 Yield'!E38)+('Population Development Matrix'!$H$11*'Population 2004 Yield'!F38)+('Population Development Matrix'!$I$11*'Population 2004 Yield'!G38)+('Population Development Matrix'!$D$15*'Population 2004 Yield'!J38)+('Population Development Matrix'!$E$15*'Population 2004 Yield'!K38)+('Population Development Matrix'!$F$15*'Population 2004 Yield'!L38)+('Population Development Matrix'!$G$15*'Population 2004 Yield'!M38)+('Population Development Matrix'!$H$15*'Population 2004 Yield'!N38)+('Population Development Matrix'!$I$15*'Population 2004 Yield'!O38)</f>
        <v>0</v>
      </c>
      <c r="F9" s="46">
        <f t="shared" si="0"/>
        <v>0</v>
      </c>
      <c r="H9" s="49" t="s">
        <v>138</v>
      </c>
      <c r="I9" s="52">
        <f>('Population Development Matrix'!$D$9*'Population 2007 Yield'!B8)+('Population Development Matrix'!$E$9*'Population 2007 Yield'!C8)+('Population Development Matrix'!$F$9*'Population 2007 Yield'!D8)+('Population Development Matrix'!$G$9*'Population 2007 Yield'!E8)+('Population Development Matrix'!$H$9*'Population 2007 Yield'!F8)+('Population Development Matrix'!$I$9*'Population 2007 Yield'!G8)+('Population Development Matrix'!$D$13*'Population 2007 Yield'!J8)+('Population Development Matrix'!$E$13*'Population 2007 Yield'!K8)+('Population Development Matrix'!$F$13*'Population 2007 Yield'!L8)+('Population Development Matrix'!$G$13*'Population 2007 Yield'!M8)+('Population Development Matrix'!$H$13*'Population 2007 Yield'!N8)+('Population Development Matrix'!$I$13*'Population 2007 Yield'!O8)</f>
        <v>0</v>
      </c>
      <c r="J9" s="52">
        <f>('Population Development Matrix'!$D$10*'Population 2007 Yield'!B23)+('Population Development Matrix'!$E$10*'Population 2007 Yield'!C23)+('Population Development Matrix'!$F$10*'Population 2007 Yield'!D23)+('Population Development Matrix'!$G$10*'Population 2007 Yield'!E23)+('Population Development Matrix'!$H$10*'Population 2007 Yield'!F23)+('Population Development Matrix'!$I$10*'Population 2007 Yield'!G23)+('Population Development Matrix'!$D$14*'Population 2007 Yield'!J23)+('Population Development Matrix'!$E$14*'Population 2007 Yield'!K23)+('Population Development Matrix'!$F$14*'Population 2007 Yield'!L23)+('Population Development Matrix'!$G$14*'Population 2007 Yield'!M23)+('Population Development Matrix'!$H$14*'Population 2007 Yield'!N23)+('Population Development Matrix'!$I$14*'Population 2007 Yield'!O23)</f>
        <v>0</v>
      </c>
      <c r="K9" s="52">
        <f>('Population Development Matrix'!$D$11*'Population 2007 Yield'!B38)+('Population Development Matrix'!$E$11*'Population 2007 Yield'!C38)+('Population Development Matrix'!$F$11*'Population 2007 Yield'!D38)+('Population Development Matrix'!$G$11*'Population 2007 Yield'!E38)+('Population Development Matrix'!$H$11*'Population 2007 Yield'!F38)+('Population Development Matrix'!$I$11*'Population 2007 Yield'!G38)+('Population Development Matrix'!$D$15*'Population 2007 Yield'!J38)+('Population Development Matrix'!$E$15*'Population 2007 Yield'!K38)+('Population Development Matrix'!$F$15*'Population 2007 Yield'!L38)+('Population Development Matrix'!$G$15*'Population 2007 Yield'!M38)+('Population Development Matrix'!$H$15*'Population 2007 Yield'!N38)+('Population Development Matrix'!$I$15*'Population 2007 Yield'!O38)</f>
        <v>0</v>
      </c>
      <c r="L9" s="46">
        <f t="shared" si="1"/>
        <v>0</v>
      </c>
    </row>
    <row r="10" spans="2:12" ht="21" x14ac:dyDescent="0.4">
      <c r="B10" s="49" t="s">
        <v>139</v>
      </c>
      <c r="C10" s="52">
        <f>('Population Development Matrix'!$D$9*'Population 2004 Yield'!B9)+('Population Development Matrix'!$E$9*'Population 2004 Yield'!C9)+('Population Development Matrix'!$F$9*'Population 2004 Yield'!D9)+('Population Development Matrix'!$G$9*'Population 2004 Yield'!E9)+('Population Development Matrix'!$H$9*'Population 2004 Yield'!F9)+('Population Development Matrix'!$I$9*'Population 2004 Yield'!G9)+('Population Development Matrix'!$D$13*'Population 2004 Yield'!J9)+('Population Development Matrix'!$E$13*'Population 2004 Yield'!K9)+('Population Development Matrix'!$F$13*'Population 2004 Yield'!L9)+('Population Development Matrix'!$G$13*'Population 2004 Yield'!M9)+('Population Development Matrix'!$H$13*'Population 2004 Yield'!N9)+('Population Development Matrix'!$I$13*'Population 2004 Yield'!O9)</f>
        <v>0</v>
      </c>
      <c r="D10" s="52">
        <f>('Population Development Matrix'!$D$10*'Population 2004 Yield'!B24)+('Population Development Matrix'!$E$10*'Population 2004 Yield'!C24)+('Population Development Matrix'!$F$10*'Population 2004 Yield'!D24)+('Population Development Matrix'!$G$10*'Population 2004 Yield'!E24)+('Population Development Matrix'!$H$10*'Population 2004 Yield'!F24)+('Population Development Matrix'!$I$10*'Population 2004 Yield'!G24)+('Population Development Matrix'!$D$14*'Population 2004 Yield'!J24)+('Population Development Matrix'!$E$14*'Population 2004 Yield'!K24)+('Population Development Matrix'!$F$14*'Population 2004 Yield'!L24)+('Population Development Matrix'!$G$14*'Population 2004 Yield'!M24)+('Population Development Matrix'!$H$14*'Population 2004 Yield'!N24)+('Population Development Matrix'!$I$14*'Population 2004 Yield'!O24)</f>
        <v>0</v>
      </c>
      <c r="E10" s="52">
        <f>('Population Development Matrix'!$D$11*'Population 2004 Yield'!B39)+('Population Development Matrix'!$E$11*'Population 2004 Yield'!C39)+('Population Development Matrix'!$F$11*'Population 2004 Yield'!D39)+('Population Development Matrix'!$G$11*'Population 2004 Yield'!E39)+('Population Development Matrix'!$H$11*'Population 2004 Yield'!F39)+('Population Development Matrix'!$I$11*'Population 2004 Yield'!G39)+('Population Development Matrix'!$D$15*'Population 2004 Yield'!J39)+('Population Development Matrix'!$E$15*'Population 2004 Yield'!K39)+('Population Development Matrix'!$F$15*'Population 2004 Yield'!L39)+('Population Development Matrix'!$G$15*'Population 2004 Yield'!M39)+('Population Development Matrix'!$H$15*'Population 2004 Yield'!N39)+('Population Development Matrix'!$I$15*'Population 2004 Yield'!O39)</f>
        <v>0</v>
      </c>
      <c r="F10" s="46">
        <f t="shared" si="0"/>
        <v>0</v>
      </c>
      <c r="H10" s="49" t="s">
        <v>139</v>
      </c>
      <c r="I10" s="52">
        <f>('Population Development Matrix'!$D$9*'Population 2007 Yield'!B9)+('Population Development Matrix'!$E$9*'Population 2007 Yield'!C9)+('Population Development Matrix'!$F$9*'Population 2007 Yield'!D9)+('Population Development Matrix'!$G$9*'Population 2007 Yield'!E9)+('Population Development Matrix'!$H$9*'Population 2007 Yield'!F9)+('Population Development Matrix'!$I$9*'Population 2007 Yield'!G9)+('Population Development Matrix'!$D$13*'Population 2007 Yield'!J9)+('Population Development Matrix'!$E$13*'Population 2007 Yield'!K9)+('Population Development Matrix'!$F$13*'Population 2007 Yield'!L9)+('Population Development Matrix'!$G$13*'Population 2007 Yield'!M9)+('Population Development Matrix'!$H$13*'Population 2007 Yield'!N9)+('Population Development Matrix'!$I$13*'Population 2007 Yield'!O9)</f>
        <v>0</v>
      </c>
      <c r="J10" s="52">
        <f>('Population Development Matrix'!$D$10*'Population 2007 Yield'!B24)+('Population Development Matrix'!$E$10*'Population 2007 Yield'!C24)+('Population Development Matrix'!$F$10*'Population 2007 Yield'!D24)+('Population Development Matrix'!$G$10*'Population 2007 Yield'!E24)+('Population Development Matrix'!$H$10*'Population 2007 Yield'!F24)+('Population Development Matrix'!$I$10*'Population 2007 Yield'!G24)+('Population Development Matrix'!$D$14*'Population 2007 Yield'!J24)+('Population Development Matrix'!$E$14*'Population 2007 Yield'!K24)+('Population Development Matrix'!$F$14*'Population 2007 Yield'!L24)+('Population Development Matrix'!$G$14*'Population 2007 Yield'!M24)+('Population Development Matrix'!$H$14*'Population 2007 Yield'!N24)+('Population Development Matrix'!$I$14*'Population 2007 Yield'!O24)</f>
        <v>0</v>
      </c>
      <c r="K10" s="52">
        <f>('Population Development Matrix'!$D$11*'Population 2007 Yield'!B39)+('Population Development Matrix'!$E$11*'Population 2007 Yield'!C39)+('Population Development Matrix'!$F$11*'Population 2007 Yield'!D39)+('Population Development Matrix'!$G$11*'Population 2007 Yield'!E39)+('Population Development Matrix'!$H$11*'Population 2007 Yield'!F39)+('Population Development Matrix'!$I$11*'Population 2007 Yield'!G39)+('Population Development Matrix'!$D$15*'Population 2007 Yield'!J39)+('Population Development Matrix'!$E$15*'Population 2007 Yield'!K39)+('Population Development Matrix'!$F$15*'Population 2007 Yield'!L39)+('Population Development Matrix'!$G$15*'Population 2007 Yield'!M39)+('Population Development Matrix'!$H$15*'Population 2007 Yield'!N39)+('Population Development Matrix'!$I$15*'Population 2007 Yield'!O39)</f>
        <v>0</v>
      </c>
      <c r="L10" s="46">
        <f t="shared" si="1"/>
        <v>0</v>
      </c>
    </row>
    <row r="11" spans="2:12" ht="21" x14ac:dyDescent="0.4">
      <c r="B11" s="49" t="s">
        <v>140</v>
      </c>
      <c r="C11" s="52">
        <f>('Population Development Matrix'!$D$9*'Population 2004 Yield'!B10)+('Population Development Matrix'!$E$9*'Population 2004 Yield'!C10)+('Population Development Matrix'!$F$9*'Population 2004 Yield'!D10)+('Population Development Matrix'!$G$9*'Population 2004 Yield'!E10)+('Population Development Matrix'!$H$9*'Population 2004 Yield'!F10)+('Population Development Matrix'!$I$9*'Population 2004 Yield'!G10)+('Population Development Matrix'!$D$13*'Population 2004 Yield'!J10)+('Population Development Matrix'!$E$13*'Population 2004 Yield'!K10)+('Population Development Matrix'!$F$13*'Population 2004 Yield'!L10)+('Population Development Matrix'!$G$13*'Population 2004 Yield'!M10)+('Population Development Matrix'!$H$13*'Population 2004 Yield'!N10)+('Population Development Matrix'!$I$13*'Population 2004 Yield'!O10)</f>
        <v>0</v>
      </c>
      <c r="D11" s="52">
        <f>('Population Development Matrix'!$D$10*'Population 2004 Yield'!B25)+('Population Development Matrix'!$E$10*'Population 2004 Yield'!C25)+('Population Development Matrix'!$F$10*'Population 2004 Yield'!D25)+('Population Development Matrix'!$G$10*'Population 2004 Yield'!E25)+('Population Development Matrix'!$H$10*'Population 2004 Yield'!F25)+('Population Development Matrix'!$I$10*'Population 2004 Yield'!G25)+('Population Development Matrix'!$D$14*'Population 2004 Yield'!J25)+('Population Development Matrix'!$E$14*'Population 2004 Yield'!K25)+('Population Development Matrix'!$F$14*'Population 2004 Yield'!L25)+('Population Development Matrix'!$G$14*'Population 2004 Yield'!M25)+('Population Development Matrix'!$H$14*'Population 2004 Yield'!N25)+('Population Development Matrix'!$I$14*'Population 2004 Yield'!O25)</f>
        <v>0</v>
      </c>
      <c r="E11" s="52">
        <f>('Population Development Matrix'!$D$11*'Population 2004 Yield'!B40)+('Population Development Matrix'!$E$11*'Population 2004 Yield'!C40)+('Population Development Matrix'!$F$11*'Population 2004 Yield'!D40)+('Population Development Matrix'!$G$11*'Population 2004 Yield'!E40)+('Population Development Matrix'!$H$11*'Population 2004 Yield'!F40)+('Population Development Matrix'!$I$11*'Population 2004 Yield'!G40)+('Population Development Matrix'!$D$15*'Population 2004 Yield'!J40)+('Population Development Matrix'!$E$15*'Population 2004 Yield'!K40)+('Population Development Matrix'!$F$15*'Population 2004 Yield'!L40)+('Population Development Matrix'!$G$15*'Population 2004 Yield'!M40)+('Population Development Matrix'!$H$15*'Population 2004 Yield'!N40)+('Population Development Matrix'!$I$15*'Population 2004 Yield'!O40)</f>
        <v>0</v>
      </c>
      <c r="F11" s="46">
        <f t="shared" si="0"/>
        <v>0</v>
      </c>
      <c r="H11" s="49" t="s">
        <v>140</v>
      </c>
      <c r="I11" s="52">
        <f>('Population Development Matrix'!$D$9*'Population 2007 Yield'!B10)+('Population Development Matrix'!$E$9*'Population 2007 Yield'!C10)+('Population Development Matrix'!$F$9*'Population 2007 Yield'!D10)+('Population Development Matrix'!$G$9*'Population 2007 Yield'!E10)+('Population Development Matrix'!$H$9*'Population 2007 Yield'!F10)+('Population Development Matrix'!$I$9*'Population 2007 Yield'!G10)+('Population Development Matrix'!$D$13*'Population 2007 Yield'!J10)+('Population Development Matrix'!$E$13*'Population 2007 Yield'!K10)+('Population Development Matrix'!$F$13*'Population 2007 Yield'!L10)+('Population Development Matrix'!$G$13*'Population 2007 Yield'!M10)+('Population Development Matrix'!$H$13*'Population 2007 Yield'!N10)+('Population Development Matrix'!$I$13*'Population 2007 Yield'!O10)</f>
        <v>0</v>
      </c>
      <c r="J11" s="52">
        <f>('Population Development Matrix'!$D$10*'Population 2007 Yield'!B25)+('Population Development Matrix'!$E$10*'Population 2007 Yield'!C25)+('Population Development Matrix'!$F$10*'Population 2007 Yield'!D25)+('Population Development Matrix'!$G$10*'Population 2007 Yield'!E25)+('Population Development Matrix'!$H$10*'Population 2007 Yield'!F25)+('Population Development Matrix'!$I$10*'Population 2007 Yield'!G25)+('Population Development Matrix'!$D$14*'Population 2007 Yield'!J25)+('Population Development Matrix'!$E$14*'Population 2007 Yield'!K25)+('Population Development Matrix'!$F$14*'Population 2007 Yield'!L25)+('Population Development Matrix'!$G$14*'Population 2007 Yield'!M25)+('Population Development Matrix'!$H$14*'Population 2007 Yield'!N25)+('Population Development Matrix'!$I$14*'Population 2007 Yield'!O25)</f>
        <v>0</v>
      </c>
      <c r="K11" s="52">
        <f>('Population Development Matrix'!$D$11*'Population 2007 Yield'!B40)+('Population Development Matrix'!$E$11*'Population 2007 Yield'!C40)+('Population Development Matrix'!$F$11*'Population 2007 Yield'!D40)+('Population Development Matrix'!$G$11*'Population 2007 Yield'!E40)+('Population Development Matrix'!$H$11*'Population 2007 Yield'!F40)+('Population Development Matrix'!$I$11*'Population 2007 Yield'!G40)+('Population Development Matrix'!$D$15*'Population 2007 Yield'!J40)+('Population Development Matrix'!$E$15*'Population 2007 Yield'!K40)+('Population Development Matrix'!$F$15*'Population 2007 Yield'!L40)+('Population Development Matrix'!$G$15*'Population 2007 Yield'!M40)+('Population Development Matrix'!$H$15*'Population 2007 Yield'!N40)+('Population Development Matrix'!$I$15*'Population 2007 Yield'!O40)</f>
        <v>0</v>
      </c>
      <c r="L11" s="46">
        <f t="shared" si="1"/>
        <v>0</v>
      </c>
    </row>
    <row r="12" spans="2:12" ht="21" x14ac:dyDescent="0.4">
      <c r="B12" s="47" t="s">
        <v>141</v>
      </c>
      <c r="C12" s="52">
        <f>('Population Development Matrix'!$D$9*'Population 2004 Yield'!B11)+('Population Development Matrix'!$E$9*'Population 2004 Yield'!C11)+('Population Development Matrix'!$F$9*'Population 2004 Yield'!D11)+('Population Development Matrix'!$G$9*'Population 2004 Yield'!E11)+('Population Development Matrix'!$H$9*'Population 2004 Yield'!F11)+('Population Development Matrix'!$I$9*'Population 2004 Yield'!G11)+('Population Development Matrix'!$D$13*'Population 2004 Yield'!J11)+('Population Development Matrix'!$E$13*'Population 2004 Yield'!K11)+('Population Development Matrix'!$F$13*'Population 2004 Yield'!L11)+('Population Development Matrix'!$G$13*'Population 2004 Yield'!M11)+('Population Development Matrix'!$H$13*'Population 2004 Yield'!N11)+('Population Development Matrix'!$I$13*'Population 2004 Yield'!O11)</f>
        <v>0</v>
      </c>
      <c r="D12" s="52">
        <f>('Population Development Matrix'!$D$10*'Population 2004 Yield'!B26)+('Population Development Matrix'!$E$10*'Population 2004 Yield'!C26)+('Population Development Matrix'!$F$10*'Population 2004 Yield'!D26)+('Population Development Matrix'!$G$10*'Population 2004 Yield'!E26)+('Population Development Matrix'!$H$10*'Population 2004 Yield'!F26)+('Population Development Matrix'!$I$10*'Population 2004 Yield'!G26)+('Population Development Matrix'!$D$14*'Population 2004 Yield'!J26)+('Population Development Matrix'!$E$14*'Population 2004 Yield'!K26)+('Population Development Matrix'!$F$14*'Population 2004 Yield'!L26)+('Population Development Matrix'!$G$14*'Population 2004 Yield'!M26)+('Population Development Matrix'!$H$14*'Population 2004 Yield'!N26)+('Population Development Matrix'!$I$14*'Population 2004 Yield'!O26)</f>
        <v>0</v>
      </c>
      <c r="E12" s="52">
        <f>('Population Development Matrix'!$D$11*'Population 2004 Yield'!B41)+('Population Development Matrix'!$E$11*'Population 2004 Yield'!C41)+('Population Development Matrix'!$F$11*'Population 2004 Yield'!D41)+('Population Development Matrix'!$G$11*'Population 2004 Yield'!E41)+('Population Development Matrix'!$H$11*'Population 2004 Yield'!F41)+('Population Development Matrix'!$I$11*'Population 2004 Yield'!G41)+('Population Development Matrix'!$D$15*'Population 2004 Yield'!J41)+('Population Development Matrix'!$E$15*'Population 2004 Yield'!K41)+('Population Development Matrix'!$F$15*'Population 2004 Yield'!L41)+('Population Development Matrix'!$G$15*'Population 2004 Yield'!M41)+('Population Development Matrix'!$H$15*'Population 2004 Yield'!N41)+('Population Development Matrix'!$I$15*'Population 2004 Yield'!O41)</f>
        <v>0</v>
      </c>
      <c r="F12" s="46">
        <f t="shared" si="0"/>
        <v>0</v>
      </c>
      <c r="H12" s="47" t="s">
        <v>141</v>
      </c>
      <c r="I12" s="52">
        <f>('Population Development Matrix'!$D$9*'Population 2007 Yield'!B11)+('Population Development Matrix'!$E$9*'Population 2007 Yield'!C11)+('Population Development Matrix'!$F$9*'Population 2007 Yield'!D11)+('Population Development Matrix'!$G$9*'Population 2007 Yield'!E11)+('Population Development Matrix'!$H$9*'Population 2007 Yield'!F11)+('Population Development Matrix'!$I$9*'Population 2007 Yield'!G11)+('Population Development Matrix'!$D$13*'Population 2007 Yield'!J11)+('Population Development Matrix'!$E$13*'Population 2007 Yield'!K11)+('Population Development Matrix'!$F$13*'Population 2007 Yield'!L11)+('Population Development Matrix'!$G$13*'Population 2007 Yield'!M11)+('Population Development Matrix'!$H$13*'Population 2007 Yield'!N11)+('Population Development Matrix'!$I$13*'Population 2007 Yield'!O11)</f>
        <v>0</v>
      </c>
      <c r="J12" s="52">
        <f>('Population Development Matrix'!$D$10*'Population 2007 Yield'!B26)+('Population Development Matrix'!$E$10*'Population 2007 Yield'!C26)+('Population Development Matrix'!$F$10*'Population 2007 Yield'!D26)+('Population Development Matrix'!$G$10*'Population 2007 Yield'!E26)+('Population Development Matrix'!$H$10*'Population 2007 Yield'!F26)+('Population Development Matrix'!$I$10*'Population 2007 Yield'!G26)+('Population Development Matrix'!$D$14*'Population 2007 Yield'!J26)+('Population Development Matrix'!$E$14*'Population 2007 Yield'!K26)+('Population Development Matrix'!$F$14*'Population 2007 Yield'!L26)+('Population Development Matrix'!$G$14*'Population 2007 Yield'!M26)+('Population Development Matrix'!$H$14*'Population 2007 Yield'!N26)+('Population Development Matrix'!$I$14*'Population 2007 Yield'!O26)</f>
        <v>0</v>
      </c>
      <c r="K12" s="52">
        <f>('Population Development Matrix'!$D$11*'Population 2007 Yield'!B41)+('Population Development Matrix'!$E$11*'Population 2007 Yield'!C41)+('Population Development Matrix'!$F$11*'Population 2007 Yield'!D41)+('Population Development Matrix'!$G$11*'Population 2007 Yield'!E41)+('Population Development Matrix'!$H$11*'Population 2007 Yield'!F41)+('Population Development Matrix'!$I$11*'Population 2007 Yield'!G41)+('Population Development Matrix'!$D$15*'Population 2007 Yield'!J41)+('Population Development Matrix'!$E$15*'Population 2007 Yield'!K41)+('Population Development Matrix'!$F$15*'Population 2007 Yield'!L41)+('Population Development Matrix'!$G$15*'Population 2007 Yield'!M41)+('Population Development Matrix'!$H$15*'Population 2007 Yield'!N41)+('Population Development Matrix'!$I$15*'Population 2007 Yield'!O41)</f>
        <v>0</v>
      </c>
      <c r="L12" s="46">
        <f t="shared" si="1"/>
        <v>0</v>
      </c>
    </row>
    <row r="13" spans="2:12" ht="21" x14ac:dyDescent="0.4">
      <c r="B13" s="47" t="s">
        <v>142</v>
      </c>
      <c r="C13" s="52">
        <f>('Population Development Matrix'!$D$9*'Population 2004 Yield'!B12)+('Population Development Matrix'!$E$9*'Population 2004 Yield'!C12)+('Population Development Matrix'!$F$9*'Population 2004 Yield'!D12)+('Population Development Matrix'!$G$9*'Population 2004 Yield'!E12)+('Population Development Matrix'!$H$9*'Population 2004 Yield'!F12)+('Population Development Matrix'!$I$9*'Population 2004 Yield'!G12)+('Population Development Matrix'!$D$13*'Population 2004 Yield'!J12)+('Population Development Matrix'!$E$13*'Population 2004 Yield'!K12)+('Population Development Matrix'!$F$13*'Population 2004 Yield'!L12)+('Population Development Matrix'!$G$13*'Population 2004 Yield'!M12)+('Population Development Matrix'!$H$13*'Population 2004 Yield'!N12)+('Population Development Matrix'!$I$13*'Population 2004 Yield'!O12)</f>
        <v>0</v>
      </c>
      <c r="D13" s="52">
        <f>('Population Development Matrix'!$D$10*'Population 2004 Yield'!B27)+('Population Development Matrix'!$E$10*'Population 2004 Yield'!C27)+('Population Development Matrix'!$F$10*'Population 2004 Yield'!D27)+('Population Development Matrix'!$G$10*'Population 2004 Yield'!E27)+('Population Development Matrix'!$H$10*'Population 2004 Yield'!F27)+('Population Development Matrix'!$I$10*'Population 2004 Yield'!G27)+('Population Development Matrix'!$D$14*'Population 2004 Yield'!J27)+('Population Development Matrix'!$E$14*'Population 2004 Yield'!K27)+('Population Development Matrix'!$F$14*'Population 2004 Yield'!L27)+('Population Development Matrix'!$G$14*'Population 2004 Yield'!M27)+('Population Development Matrix'!$H$14*'Population 2004 Yield'!N27)+('Population Development Matrix'!$I$14*'Population 2004 Yield'!O27)</f>
        <v>0</v>
      </c>
      <c r="E13" s="52">
        <f>('Population Development Matrix'!$D$11*'Population 2004 Yield'!B42)+('Population Development Matrix'!$E$11*'Population 2004 Yield'!C42)+('Population Development Matrix'!$F$11*'Population 2004 Yield'!D42)+('Population Development Matrix'!$G$11*'Population 2004 Yield'!E42)+('Population Development Matrix'!$H$11*'Population 2004 Yield'!F42)+('Population Development Matrix'!$I$11*'Population 2004 Yield'!G42)+('Population Development Matrix'!$D$15*'Population 2004 Yield'!J42)+('Population Development Matrix'!$E$15*'Population 2004 Yield'!K42)+('Population Development Matrix'!$F$15*'Population 2004 Yield'!L42)+('Population Development Matrix'!$G$15*'Population 2004 Yield'!M42)+('Population Development Matrix'!$H$15*'Population 2004 Yield'!N42)+('Population Development Matrix'!$I$15*'Population 2004 Yield'!O42)</f>
        <v>0</v>
      </c>
      <c r="F13" s="46">
        <f t="shared" si="0"/>
        <v>0</v>
      </c>
      <c r="H13" s="47" t="s">
        <v>142</v>
      </c>
      <c r="I13" s="52">
        <f>('Population Development Matrix'!$D$9*'Population 2007 Yield'!B12)+('Population Development Matrix'!$E$9*'Population 2007 Yield'!C12)+('Population Development Matrix'!$F$9*'Population 2007 Yield'!D12)+('Population Development Matrix'!$G$9*'Population 2007 Yield'!E12)+('Population Development Matrix'!$H$9*'Population 2007 Yield'!F12)+('Population Development Matrix'!$I$9*'Population 2007 Yield'!G12)+('Population Development Matrix'!$D$13*'Population 2007 Yield'!J12)+('Population Development Matrix'!$E$13*'Population 2007 Yield'!K12)+('Population Development Matrix'!$F$13*'Population 2007 Yield'!L12)+('Population Development Matrix'!$G$13*'Population 2007 Yield'!M12)+('Population Development Matrix'!$H$13*'Population 2007 Yield'!N12)+('Population Development Matrix'!$I$13*'Population 2007 Yield'!O12)</f>
        <v>0</v>
      </c>
      <c r="J13" s="52">
        <f>('Population Development Matrix'!$D$10*'Population 2007 Yield'!B27)+('Population Development Matrix'!$E$10*'Population 2007 Yield'!C27)+('Population Development Matrix'!$F$10*'Population 2007 Yield'!D27)+('Population Development Matrix'!$G$10*'Population 2007 Yield'!E27)+('Population Development Matrix'!$H$10*'Population 2007 Yield'!F27)+('Population Development Matrix'!$I$10*'Population 2007 Yield'!G27)+('Population Development Matrix'!$D$14*'Population 2007 Yield'!J27)+('Population Development Matrix'!$E$14*'Population 2007 Yield'!K27)+('Population Development Matrix'!$F$14*'Population 2007 Yield'!L27)+('Population Development Matrix'!$G$14*'Population 2007 Yield'!M27)+('Population Development Matrix'!$H$14*'Population 2007 Yield'!N27)+('Population Development Matrix'!$I$14*'Population 2007 Yield'!O27)</f>
        <v>0</v>
      </c>
      <c r="K13" s="52">
        <f>('Population Development Matrix'!$D$11*'Population 2007 Yield'!B42)+('Population Development Matrix'!$E$11*'Population 2007 Yield'!C42)+('Population Development Matrix'!$F$11*'Population 2007 Yield'!D42)+('Population Development Matrix'!$G$11*'Population 2007 Yield'!E42)+('Population Development Matrix'!$H$11*'Population 2007 Yield'!F42)+('Population Development Matrix'!$I$11*'Population 2007 Yield'!G42)+('Population Development Matrix'!$D$15*'Population 2007 Yield'!J42)+('Population Development Matrix'!$E$15*'Population 2007 Yield'!K42)+('Population Development Matrix'!$F$15*'Population 2007 Yield'!L42)+('Population Development Matrix'!$G$15*'Population 2007 Yield'!M42)+('Population Development Matrix'!$H$15*'Population 2007 Yield'!N42)+('Population Development Matrix'!$I$15*'Population 2007 Yield'!O42)</f>
        <v>0</v>
      </c>
      <c r="L13" s="46">
        <f t="shared" si="1"/>
        <v>0</v>
      </c>
    </row>
    <row r="14" spans="2:12" ht="21" x14ac:dyDescent="0.4">
      <c r="B14" s="47" t="s">
        <v>143</v>
      </c>
      <c r="C14" s="52">
        <f>('Population Development Matrix'!$D$9*'Population 2004 Yield'!B13)+('Population Development Matrix'!$E$9*'Population 2004 Yield'!C13)+('Population Development Matrix'!$F$9*'Population 2004 Yield'!D13)+('Population Development Matrix'!$G$9*'Population 2004 Yield'!E13)+('Population Development Matrix'!$H$9*'Population 2004 Yield'!F13)+('Population Development Matrix'!$I$9*'Population 2004 Yield'!G13)+('Population Development Matrix'!$D$13*'Population 2004 Yield'!J13)+('Population Development Matrix'!$E$13*'Population 2004 Yield'!K13)+('Population Development Matrix'!$F$13*'Population 2004 Yield'!L13)+('Population Development Matrix'!$G$13*'Population 2004 Yield'!M13)+('Population Development Matrix'!$H$13*'Population 2004 Yield'!N13)+('Population Development Matrix'!$I$13*'Population 2004 Yield'!O13)</f>
        <v>0</v>
      </c>
      <c r="D14" s="52">
        <f>('Population Development Matrix'!$D$10*'Population 2004 Yield'!B28)+('Population Development Matrix'!$E$10*'Population 2004 Yield'!C28)+('Population Development Matrix'!$F$10*'Population 2004 Yield'!D28)+('Population Development Matrix'!$G$10*'Population 2004 Yield'!E28)+('Population Development Matrix'!$H$10*'Population 2004 Yield'!F28)+('Population Development Matrix'!$I$10*'Population 2004 Yield'!G28)+('Population Development Matrix'!$D$14*'Population 2004 Yield'!J28)+('Population Development Matrix'!$E$14*'Population 2004 Yield'!K28)+('Population Development Matrix'!$F$14*'Population 2004 Yield'!L28)+('Population Development Matrix'!$G$14*'Population 2004 Yield'!M28)+('Population Development Matrix'!$H$14*'Population 2004 Yield'!N28)+('Population Development Matrix'!$I$14*'Population 2004 Yield'!O28)</f>
        <v>0</v>
      </c>
      <c r="E14" s="52">
        <f>('Population Development Matrix'!$D$11*'Population 2004 Yield'!B43)+('Population Development Matrix'!$E$11*'Population 2004 Yield'!C43)+('Population Development Matrix'!$F$11*'Population 2004 Yield'!D43)+('Population Development Matrix'!$G$11*'Population 2004 Yield'!E43)+('Population Development Matrix'!$H$11*'Population 2004 Yield'!F43)+('Population Development Matrix'!$I$11*'Population 2004 Yield'!G43)+('Population Development Matrix'!$D$15*'Population 2004 Yield'!J43)+('Population Development Matrix'!$E$15*'Population 2004 Yield'!K43)+('Population Development Matrix'!$F$15*'Population 2004 Yield'!L43)+('Population Development Matrix'!$G$15*'Population 2004 Yield'!M43)+('Population Development Matrix'!$H$15*'Population 2004 Yield'!N43)+('Population Development Matrix'!$I$15*'Population 2004 Yield'!O43)</f>
        <v>0</v>
      </c>
      <c r="F14" s="46">
        <f t="shared" si="0"/>
        <v>0</v>
      </c>
      <c r="H14" s="47" t="s">
        <v>143</v>
      </c>
      <c r="I14" s="52">
        <f>('Population Development Matrix'!$D$9*'Population 2007 Yield'!B13)+('Population Development Matrix'!$E$9*'Population 2007 Yield'!C13)+('Population Development Matrix'!$F$9*'Population 2007 Yield'!D13)+('Population Development Matrix'!$G$9*'Population 2007 Yield'!E13)+('Population Development Matrix'!$H$9*'Population 2007 Yield'!F13)+('Population Development Matrix'!$I$9*'Population 2007 Yield'!G13)+('Population Development Matrix'!$D$13*'Population 2007 Yield'!J13)+('Population Development Matrix'!$E$13*'Population 2007 Yield'!K13)+('Population Development Matrix'!$F$13*'Population 2007 Yield'!L13)+('Population Development Matrix'!$G$13*'Population 2007 Yield'!M13)+('Population Development Matrix'!$H$13*'Population 2007 Yield'!N13)+('Population Development Matrix'!$I$13*'Population 2007 Yield'!O13)</f>
        <v>0</v>
      </c>
      <c r="J14" s="52">
        <f>('Population Development Matrix'!$D$10*'Population 2007 Yield'!B28)+('Population Development Matrix'!$E$10*'Population 2007 Yield'!C28)+('Population Development Matrix'!$F$10*'Population 2007 Yield'!D28)+('Population Development Matrix'!$G$10*'Population 2007 Yield'!E28)+('Population Development Matrix'!$H$10*'Population 2007 Yield'!F28)+('Population Development Matrix'!$I$10*'Population 2007 Yield'!G28)+('Population Development Matrix'!$D$14*'Population 2007 Yield'!J28)+('Population Development Matrix'!$E$14*'Population 2007 Yield'!K28)+('Population Development Matrix'!$F$14*'Population 2007 Yield'!L28)+('Population Development Matrix'!$G$14*'Population 2007 Yield'!M28)+('Population Development Matrix'!$H$14*'Population 2007 Yield'!N28)+('Population Development Matrix'!$I$14*'Population 2007 Yield'!O28)</f>
        <v>0</v>
      </c>
      <c r="K14" s="52">
        <f>('Population Development Matrix'!$D$11*'Population 2007 Yield'!B43)+('Population Development Matrix'!$E$11*'Population 2007 Yield'!C43)+('Population Development Matrix'!$F$11*'Population 2007 Yield'!D43)+('Population Development Matrix'!$G$11*'Population 2007 Yield'!E43)+('Population Development Matrix'!$H$11*'Population 2007 Yield'!F43)+('Population Development Matrix'!$I$11*'Population 2007 Yield'!G43)+('Population Development Matrix'!$D$15*'Population 2007 Yield'!J43)+('Population Development Matrix'!$E$15*'Population 2007 Yield'!K43)+('Population Development Matrix'!$F$15*'Population 2007 Yield'!L43)+('Population Development Matrix'!$G$15*'Population 2007 Yield'!M43)+('Population Development Matrix'!$H$15*'Population 2007 Yield'!N43)+('Population Development Matrix'!$I$15*'Population 2007 Yield'!O43)</f>
        <v>0</v>
      </c>
      <c r="L14" s="46">
        <f t="shared" si="1"/>
        <v>0</v>
      </c>
    </row>
    <row r="15" spans="2:12" ht="21" x14ac:dyDescent="0.4">
      <c r="B15" s="47" t="s">
        <v>144</v>
      </c>
      <c r="C15" s="52">
        <f>('Population Development Matrix'!$D$9*'Population 2004 Yield'!B14)+('Population Development Matrix'!$E$9*'Population 2004 Yield'!C14)+('Population Development Matrix'!$F$9*'Population 2004 Yield'!D14)+('Population Development Matrix'!$G$9*'Population 2004 Yield'!E14)+('Population Development Matrix'!$H$9*'Population 2004 Yield'!F14)+('Population Development Matrix'!$I$9*'Population 2004 Yield'!G14)+('Population Development Matrix'!$D$13*'Population 2004 Yield'!J14)+('Population Development Matrix'!$E$13*'Population 2004 Yield'!K14)+('Population Development Matrix'!$F$13*'Population 2004 Yield'!L14)+('Population Development Matrix'!$G$13*'Population 2004 Yield'!M14)+('Population Development Matrix'!$H$13*'Population 2004 Yield'!N14)+('Population Development Matrix'!$I$13*'Population 2004 Yield'!O14)</f>
        <v>0</v>
      </c>
      <c r="D15" s="52">
        <f>('Population Development Matrix'!$D$10*'Population 2004 Yield'!B29)+('Population Development Matrix'!$E$10*'Population 2004 Yield'!C29)+('Population Development Matrix'!$F$10*'Population 2004 Yield'!D29)+('Population Development Matrix'!$G$10*'Population 2004 Yield'!E29)+('Population Development Matrix'!$H$10*'Population 2004 Yield'!F29)+('Population Development Matrix'!$I$10*'Population 2004 Yield'!G29)+('Population Development Matrix'!$D$14*'Population 2004 Yield'!J29)+('Population Development Matrix'!$E$14*'Population 2004 Yield'!K29)+('Population Development Matrix'!$F$14*'Population 2004 Yield'!L29)+('Population Development Matrix'!$G$14*'Population 2004 Yield'!M29)+('Population Development Matrix'!$H$14*'Population 2004 Yield'!N29)+('Population Development Matrix'!$I$14*'Population 2004 Yield'!O29)</f>
        <v>0</v>
      </c>
      <c r="E15" s="52">
        <f>('Population Development Matrix'!$D$11*'Population 2004 Yield'!B44)+('Population Development Matrix'!$E$11*'Population 2004 Yield'!C44)+('Population Development Matrix'!$F$11*'Population 2004 Yield'!D44)+('Population Development Matrix'!$G$11*'Population 2004 Yield'!E44)+('Population Development Matrix'!$H$11*'Population 2004 Yield'!F44)+('Population Development Matrix'!$I$11*'Population 2004 Yield'!G44)+('Population Development Matrix'!$D$15*'Population 2004 Yield'!J44)+('Population Development Matrix'!$E$15*'Population 2004 Yield'!K44)+('Population Development Matrix'!$F$15*'Population 2004 Yield'!L44)+('Population Development Matrix'!$G$15*'Population 2004 Yield'!M44)+('Population Development Matrix'!$H$15*'Population 2004 Yield'!N44)+('Population Development Matrix'!$I$15*'Population 2004 Yield'!O44)</f>
        <v>0</v>
      </c>
      <c r="F15" s="46">
        <f t="shared" si="0"/>
        <v>0</v>
      </c>
      <c r="H15" s="47" t="s">
        <v>144</v>
      </c>
      <c r="I15" s="52">
        <f>('Population Development Matrix'!$D$9*'Population 2007 Yield'!B14)+('Population Development Matrix'!$E$9*'Population 2007 Yield'!C14)+('Population Development Matrix'!$F$9*'Population 2007 Yield'!D14)+('Population Development Matrix'!$G$9*'Population 2007 Yield'!E14)+('Population Development Matrix'!$H$9*'Population 2007 Yield'!F14)+('Population Development Matrix'!$I$9*'Population 2007 Yield'!G14)+('Population Development Matrix'!$D$13*'Population 2007 Yield'!J14)+('Population Development Matrix'!$E$13*'Population 2007 Yield'!K14)+('Population Development Matrix'!$F$13*'Population 2007 Yield'!L14)+('Population Development Matrix'!$G$13*'Population 2007 Yield'!M14)+('Population Development Matrix'!$H$13*'Population 2007 Yield'!N14)+('Population Development Matrix'!$I$13*'Population 2007 Yield'!O14)</f>
        <v>0</v>
      </c>
      <c r="J15" s="52">
        <f>('Population Development Matrix'!$D$10*'Population 2007 Yield'!B29)+('Population Development Matrix'!$E$10*'Population 2007 Yield'!C29)+('Population Development Matrix'!$F$10*'Population 2007 Yield'!D29)+('Population Development Matrix'!$G$10*'Population 2007 Yield'!E29)+('Population Development Matrix'!$H$10*'Population 2007 Yield'!F29)+('Population Development Matrix'!$I$10*'Population 2007 Yield'!G29)+('Population Development Matrix'!$D$14*'Population 2007 Yield'!J29)+('Population Development Matrix'!$E$14*'Population 2007 Yield'!K29)+('Population Development Matrix'!$F$14*'Population 2007 Yield'!L29)+('Population Development Matrix'!$G$14*'Population 2007 Yield'!M29)+('Population Development Matrix'!$H$14*'Population 2007 Yield'!N29)+('Population Development Matrix'!$I$14*'Population 2007 Yield'!O29)</f>
        <v>0</v>
      </c>
      <c r="K15" s="52">
        <f>('Population Development Matrix'!$D$11*'Population 2007 Yield'!B44)+('Population Development Matrix'!$E$11*'Population 2007 Yield'!C44)+('Population Development Matrix'!$F$11*'Population 2007 Yield'!D44)+('Population Development Matrix'!$G$11*'Population 2007 Yield'!E44)+('Population Development Matrix'!$H$11*'Population 2007 Yield'!F44)+('Population Development Matrix'!$I$11*'Population 2007 Yield'!G44)+('Population Development Matrix'!$D$15*'Population 2007 Yield'!J44)+('Population Development Matrix'!$E$15*'Population 2007 Yield'!K44)+('Population Development Matrix'!$F$15*'Population 2007 Yield'!L44)+('Population Development Matrix'!$G$15*'Population 2007 Yield'!M44)+('Population Development Matrix'!$H$15*'Population 2007 Yield'!N44)+('Population Development Matrix'!$I$15*'Population 2007 Yield'!O44)</f>
        <v>0</v>
      </c>
      <c r="L15" s="46">
        <f t="shared" si="1"/>
        <v>0</v>
      </c>
    </row>
    <row r="16" spans="2:12" ht="21" x14ac:dyDescent="0.4">
      <c r="B16" s="47" t="s">
        <v>145</v>
      </c>
      <c r="C16" s="52">
        <f>('Population Development Matrix'!$D$9*'Population 2004 Yield'!B15)+('Population Development Matrix'!$E$9*'Population 2004 Yield'!C15)+('Population Development Matrix'!$F$9*'Population 2004 Yield'!D15)+('Population Development Matrix'!$G$9*'Population 2004 Yield'!E15)+('Population Development Matrix'!$H$9*'Population 2004 Yield'!F15)+('Population Development Matrix'!$I$9*'Population 2004 Yield'!G15)+('Population Development Matrix'!$D$13*'Population 2004 Yield'!J15)+('Population Development Matrix'!$E$13*'Population 2004 Yield'!K15)+('Population Development Matrix'!$F$13*'Population 2004 Yield'!L15)+('Population Development Matrix'!$G$13*'Population 2004 Yield'!M15)+('Population Development Matrix'!$H$13*'Population 2004 Yield'!N15)+('Population Development Matrix'!$I$13*'Population 2004 Yield'!O15)</f>
        <v>0</v>
      </c>
      <c r="D16" s="52">
        <f>('Population Development Matrix'!$D$10*'Population 2004 Yield'!B30)+('Population Development Matrix'!$E$10*'Population 2004 Yield'!C30)+('Population Development Matrix'!$F$10*'Population 2004 Yield'!D30)+('Population Development Matrix'!$G$10*'Population 2004 Yield'!E30)+('Population Development Matrix'!$H$10*'Population 2004 Yield'!F30)+('Population Development Matrix'!$I$10*'Population 2004 Yield'!G30)+('Population Development Matrix'!$D$14*'Population 2004 Yield'!J30)+('Population Development Matrix'!$E$14*'Population 2004 Yield'!K30)+('Population Development Matrix'!$F$14*'Population 2004 Yield'!L30)+('Population Development Matrix'!$G$14*'Population 2004 Yield'!M30)+('Population Development Matrix'!$H$14*'Population 2004 Yield'!N30)+('Population Development Matrix'!$I$14*'Population 2004 Yield'!O30)</f>
        <v>0</v>
      </c>
      <c r="E16" s="52">
        <f>('Population Development Matrix'!$D$11*'Population 2004 Yield'!B45)+('Population Development Matrix'!$E$11*'Population 2004 Yield'!C45)+('Population Development Matrix'!$F$11*'Population 2004 Yield'!D45)+('Population Development Matrix'!$G$11*'Population 2004 Yield'!E45)+('Population Development Matrix'!$H$11*'Population 2004 Yield'!F45)+('Population Development Matrix'!$I$11*'Population 2004 Yield'!G45)+('Population Development Matrix'!$D$15*'Population 2004 Yield'!J45)+('Population Development Matrix'!$E$15*'Population 2004 Yield'!K45)+('Population Development Matrix'!$F$15*'Population 2004 Yield'!L45)+('Population Development Matrix'!$G$15*'Population 2004 Yield'!M45)+('Population Development Matrix'!$H$15*'Population 2004 Yield'!N45)+('Population Development Matrix'!$I$15*'Population 2004 Yield'!O45)</f>
        <v>0</v>
      </c>
      <c r="F16" s="46">
        <f t="shared" si="0"/>
        <v>0</v>
      </c>
      <c r="H16" s="47" t="s">
        <v>145</v>
      </c>
      <c r="I16" s="52">
        <f>('Population Development Matrix'!$D$9*'Population 2007 Yield'!B15)+('Population Development Matrix'!$E$9*'Population 2007 Yield'!C15)+('Population Development Matrix'!$F$9*'Population 2007 Yield'!D15)+('Population Development Matrix'!$G$9*'Population 2007 Yield'!E15)+('Population Development Matrix'!$H$9*'Population 2007 Yield'!F15)+('Population Development Matrix'!$I$9*'Population 2007 Yield'!G15)+('Population Development Matrix'!$D$13*'Population 2007 Yield'!J15)+('Population Development Matrix'!$E$13*'Population 2007 Yield'!K15)+('Population Development Matrix'!$F$13*'Population 2007 Yield'!L15)+('Population Development Matrix'!$G$13*'Population 2007 Yield'!M15)+('Population Development Matrix'!$H$13*'Population 2007 Yield'!N15)+('Population Development Matrix'!$I$13*'Population 2007 Yield'!O15)</f>
        <v>0</v>
      </c>
      <c r="J16" s="52">
        <f>('Population Development Matrix'!$D$10*'Population 2007 Yield'!B30)+('Population Development Matrix'!$E$10*'Population 2007 Yield'!C30)+('Population Development Matrix'!$F$10*'Population 2007 Yield'!D30)+('Population Development Matrix'!$G$10*'Population 2007 Yield'!E30)+('Population Development Matrix'!$H$10*'Population 2007 Yield'!F30)+('Population Development Matrix'!$I$10*'Population 2007 Yield'!G30)+('Population Development Matrix'!$D$14*'Population 2007 Yield'!J30)+('Population Development Matrix'!$E$14*'Population 2007 Yield'!K30)+('Population Development Matrix'!$F$14*'Population 2007 Yield'!L30)+('Population Development Matrix'!$G$14*'Population 2007 Yield'!M30)+('Population Development Matrix'!$H$14*'Population 2007 Yield'!N30)+('Population Development Matrix'!$I$14*'Population 2007 Yield'!O30)</f>
        <v>0</v>
      </c>
      <c r="K16" s="52">
        <f>('Population Development Matrix'!$D$11*'Population 2007 Yield'!B45)+('Population Development Matrix'!$E$11*'Population 2007 Yield'!C45)+('Population Development Matrix'!$F$11*'Population 2007 Yield'!D45)+('Population Development Matrix'!$G$11*'Population 2007 Yield'!E45)+('Population Development Matrix'!$H$11*'Population 2007 Yield'!F45)+('Population Development Matrix'!$I$11*'Population 2007 Yield'!G45)+('Population Development Matrix'!$D$15*'Population 2007 Yield'!J45)+('Population Development Matrix'!$E$15*'Population 2007 Yield'!K45)+('Population Development Matrix'!$F$15*'Population 2007 Yield'!L45)+('Population Development Matrix'!$G$15*'Population 2007 Yield'!M45)+('Population Development Matrix'!$H$15*'Population 2007 Yield'!N45)+('Population Development Matrix'!$I$15*'Population 2007 Yield'!O45)</f>
        <v>0</v>
      </c>
      <c r="L16" s="46">
        <f t="shared" si="1"/>
        <v>0</v>
      </c>
    </row>
    <row r="17" spans="2:12" ht="21" x14ac:dyDescent="0.4">
      <c r="B17" s="47" t="s">
        <v>26</v>
      </c>
      <c r="C17" s="46">
        <f>SUM(C7:C16)</f>
        <v>0</v>
      </c>
      <c r="D17" s="46">
        <f>SUM(D7:D16)</f>
        <v>0</v>
      </c>
      <c r="E17" s="46">
        <f>SUM(E7:E16)</f>
        <v>0</v>
      </c>
      <c r="F17" s="46">
        <f t="shared" si="0"/>
        <v>0</v>
      </c>
      <c r="H17" s="47" t="s">
        <v>26</v>
      </c>
      <c r="I17" s="46">
        <f>SUM(I7:I16)</f>
        <v>0</v>
      </c>
      <c r="J17" s="46">
        <f>SUM(J7:J16)</f>
        <v>0</v>
      </c>
      <c r="K17" s="46">
        <f>SUM(K7:K16)</f>
        <v>0</v>
      </c>
      <c r="L17" s="46">
        <f t="shared" si="1"/>
        <v>0</v>
      </c>
    </row>
    <row r="18" spans="2:12" ht="21" x14ac:dyDescent="0.4">
      <c r="B18" s="31"/>
      <c r="C18" s="33"/>
      <c r="D18" s="33"/>
      <c r="E18" s="33"/>
      <c r="F18" s="33"/>
      <c r="H18" s="31"/>
    </row>
    <row r="19" spans="2:12" ht="21" x14ac:dyDescent="0.4">
      <c r="B19" s="419" t="s">
        <v>174</v>
      </c>
      <c r="C19" s="419"/>
      <c r="D19" s="419"/>
      <c r="E19" s="419"/>
      <c r="F19" s="419"/>
      <c r="H19" s="419" t="s">
        <v>173</v>
      </c>
      <c r="I19" s="419"/>
      <c r="J19" s="419"/>
      <c r="K19" s="419"/>
      <c r="L19" s="419"/>
    </row>
    <row r="20" spans="2:12" ht="21" x14ac:dyDescent="0.4">
      <c r="B20" s="31"/>
      <c r="C20" s="33"/>
      <c r="D20" s="33"/>
      <c r="E20" s="33"/>
      <c r="F20" s="33"/>
      <c r="H20" s="31"/>
    </row>
    <row r="21" spans="2:12" ht="21" x14ac:dyDescent="0.4">
      <c r="B21" s="51" t="s">
        <v>131</v>
      </c>
      <c r="C21" s="47" t="s">
        <v>29</v>
      </c>
      <c r="D21" s="47" t="s">
        <v>30</v>
      </c>
      <c r="E21" s="47" t="s">
        <v>31</v>
      </c>
      <c r="F21" s="50" t="s">
        <v>26</v>
      </c>
      <c r="H21" s="51" t="s">
        <v>131</v>
      </c>
      <c r="I21" s="47" t="s">
        <v>29</v>
      </c>
      <c r="J21" s="47" t="s">
        <v>30</v>
      </c>
      <c r="K21" s="47" t="s">
        <v>31</v>
      </c>
      <c r="L21" s="50" t="s">
        <v>26</v>
      </c>
    </row>
    <row r="22" spans="2:12" ht="21" x14ac:dyDescent="0.4">
      <c r="B22" s="47" t="s">
        <v>172</v>
      </c>
      <c r="C22" s="48">
        <f>+C7+C8</f>
        <v>0</v>
      </c>
      <c r="D22" s="48">
        <f>+D7+D8</f>
        <v>0</v>
      </c>
      <c r="E22" s="48">
        <f>+E7+E8</f>
        <v>0</v>
      </c>
      <c r="F22" s="46">
        <f>SUM(C22:E22)</f>
        <v>0</v>
      </c>
      <c r="H22" s="47" t="s">
        <v>172</v>
      </c>
      <c r="I22" s="48">
        <f>+I7+I8</f>
        <v>0</v>
      </c>
      <c r="J22" s="48">
        <f>+J7+J8</f>
        <v>0</v>
      </c>
      <c r="K22" s="48">
        <f>+K7+K8</f>
        <v>0</v>
      </c>
      <c r="L22" s="46">
        <f>SUM(I22:K22)</f>
        <v>0</v>
      </c>
    </row>
    <row r="23" spans="2:12" ht="21" x14ac:dyDescent="0.4">
      <c r="B23" s="49" t="s">
        <v>138</v>
      </c>
      <c r="C23" s="48">
        <f t="shared" ref="C23:E24" si="2">+C9</f>
        <v>0</v>
      </c>
      <c r="D23" s="48">
        <f t="shared" si="2"/>
        <v>0</v>
      </c>
      <c r="E23" s="48">
        <f t="shared" si="2"/>
        <v>0</v>
      </c>
      <c r="F23" s="46">
        <f>SUM(C23:E23)</f>
        <v>0</v>
      </c>
      <c r="H23" s="49" t="s">
        <v>138</v>
      </c>
      <c r="I23" s="48">
        <f t="shared" ref="I23:K24" si="3">+I9</f>
        <v>0</v>
      </c>
      <c r="J23" s="48">
        <f t="shared" si="3"/>
        <v>0</v>
      </c>
      <c r="K23" s="48">
        <f t="shared" si="3"/>
        <v>0</v>
      </c>
      <c r="L23" s="46">
        <f>SUM(I23:K23)</f>
        <v>0</v>
      </c>
    </row>
    <row r="24" spans="2:12" ht="21" x14ac:dyDescent="0.4">
      <c r="B24" s="49" t="s">
        <v>139</v>
      </c>
      <c r="C24" s="48">
        <f t="shared" si="2"/>
        <v>0</v>
      </c>
      <c r="D24" s="48">
        <f t="shared" si="2"/>
        <v>0</v>
      </c>
      <c r="E24" s="48">
        <f t="shared" si="2"/>
        <v>0</v>
      </c>
      <c r="F24" s="46">
        <f>SUM(C24:E24)</f>
        <v>0</v>
      </c>
      <c r="H24" s="49" t="s">
        <v>139</v>
      </c>
      <c r="I24" s="48">
        <f t="shared" si="3"/>
        <v>0</v>
      </c>
      <c r="J24" s="48">
        <f t="shared" si="3"/>
        <v>0</v>
      </c>
      <c r="K24" s="48">
        <f t="shared" si="3"/>
        <v>0</v>
      </c>
      <c r="L24" s="46">
        <f>SUM(I24:K24)</f>
        <v>0</v>
      </c>
    </row>
    <row r="25" spans="2:12" ht="21" x14ac:dyDescent="0.4">
      <c r="B25" s="47" t="s">
        <v>26</v>
      </c>
      <c r="C25" s="46">
        <f>SUM(C22:C24)</f>
        <v>0</v>
      </c>
      <c r="D25" s="46">
        <f>SUM(D22:D24)</f>
        <v>0</v>
      </c>
      <c r="E25" s="46">
        <f>SUM(E22:E24)</f>
        <v>0</v>
      </c>
      <c r="F25" s="46">
        <f>SUM(F22:F24)</f>
        <v>0</v>
      </c>
      <c r="H25" s="47" t="s">
        <v>26</v>
      </c>
      <c r="I25" s="46">
        <f>SUM(I22:I24)</f>
        <v>0</v>
      </c>
      <c r="J25" s="46">
        <f>SUM(J22:J24)</f>
        <v>0</v>
      </c>
      <c r="K25" s="46">
        <f>SUM(K22:K24)</f>
        <v>0</v>
      </c>
      <c r="L25" s="46">
        <f>SUM(L22:L24)</f>
        <v>0</v>
      </c>
    </row>
    <row r="26" spans="2:12" x14ac:dyDescent="0.35">
      <c r="B26" s="33"/>
      <c r="C26" s="33"/>
      <c r="D26" s="33"/>
      <c r="E26" s="33"/>
      <c r="F26" s="33"/>
    </row>
    <row r="27" spans="2:12" x14ac:dyDescent="0.35">
      <c r="B27" s="429" t="s">
        <v>171</v>
      </c>
      <c r="C27" s="429"/>
      <c r="D27" s="429"/>
      <c r="E27" s="429"/>
      <c r="F27" s="429"/>
      <c r="G27" s="45"/>
      <c r="H27" s="429" t="s">
        <v>170</v>
      </c>
      <c r="I27" s="429"/>
      <c r="J27" s="429"/>
      <c r="K27" s="429"/>
      <c r="L27" s="429"/>
    </row>
    <row r="28" spans="2:12" x14ac:dyDescent="0.35">
      <c r="B28" s="33"/>
      <c r="C28" s="33"/>
      <c r="D28" s="33"/>
      <c r="E28" s="33"/>
      <c r="F28" s="33"/>
    </row>
    <row r="29" spans="2:12" x14ac:dyDescent="0.35">
      <c r="B29" s="33"/>
      <c r="C29" s="33"/>
      <c r="D29" s="33"/>
      <c r="E29" s="33"/>
      <c r="F29" s="33"/>
    </row>
    <row r="30" spans="2:12" x14ac:dyDescent="0.35">
      <c r="B30" s="33"/>
      <c r="C30" s="33"/>
      <c r="D30" s="33"/>
      <c r="E30" s="33"/>
      <c r="F30" s="33"/>
    </row>
    <row r="31" spans="2:12" x14ac:dyDescent="0.35">
      <c r="B31" s="33"/>
      <c r="C31" s="33"/>
      <c r="D31" s="33"/>
      <c r="E31" s="33"/>
      <c r="F31" s="33"/>
    </row>
    <row r="32" spans="2:12" x14ac:dyDescent="0.35">
      <c r="B32" s="33"/>
      <c r="C32" s="33"/>
      <c r="D32" s="33"/>
      <c r="E32" s="33"/>
      <c r="F32" s="33"/>
    </row>
    <row r="33" spans="2:6" x14ac:dyDescent="0.35">
      <c r="B33" s="33"/>
      <c r="C33" s="33"/>
      <c r="D33" s="33"/>
      <c r="E33" s="33"/>
      <c r="F33" s="33"/>
    </row>
    <row r="34" spans="2:6" x14ac:dyDescent="0.35">
      <c r="B34" s="33"/>
      <c r="C34" s="33"/>
      <c r="D34" s="33"/>
      <c r="E34" s="33"/>
      <c r="F34" s="33"/>
    </row>
    <row r="35" spans="2:6" x14ac:dyDescent="0.35">
      <c r="B35" s="33"/>
      <c r="C35" s="33"/>
      <c r="D35" s="33"/>
      <c r="E35" s="33"/>
      <c r="F35" s="33"/>
    </row>
    <row r="36" spans="2:6" x14ac:dyDescent="0.35">
      <c r="B36" s="33"/>
      <c r="C36" s="33"/>
      <c r="D36" s="33"/>
      <c r="E36" s="33"/>
      <c r="F36" s="33"/>
    </row>
    <row r="37" spans="2:6" x14ac:dyDescent="0.35">
      <c r="B37" s="33"/>
      <c r="C37" s="33"/>
      <c r="D37" s="33"/>
      <c r="E37" s="33"/>
      <c r="F37" s="33"/>
    </row>
    <row r="38" spans="2:6" x14ac:dyDescent="0.35">
      <c r="B38" s="33"/>
      <c r="C38" s="33"/>
      <c r="D38" s="33"/>
      <c r="E38" s="33"/>
      <c r="F38" s="33"/>
    </row>
    <row r="39" spans="2:6" x14ac:dyDescent="0.35">
      <c r="B39" s="33"/>
      <c r="C39" s="33"/>
      <c r="D39" s="33"/>
      <c r="E39" s="33"/>
      <c r="F39" s="33"/>
    </row>
    <row r="40" spans="2:6" x14ac:dyDescent="0.35">
      <c r="B40" s="33"/>
      <c r="C40" s="33"/>
      <c r="D40" s="33"/>
      <c r="E40" s="33"/>
      <c r="F40" s="33"/>
    </row>
    <row r="41" spans="2:6" x14ac:dyDescent="0.35">
      <c r="B41" s="33"/>
      <c r="C41" s="33"/>
      <c r="D41" s="33"/>
      <c r="E41" s="33"/>
      <c r="F41" s="33"/>
    </row>
    <row r="42" spans="2:6" x14ac:dyDescent="0.35">
      <c r="B42" s="33"/>
      <c r="C42" s="33"/>
      <c r="D42" s="33"/>
      <c r="E42" s="33"/>
      <c r="F42" s="33"/>
    </row>
    <row r="43" spans="2:6" x14ac:dyDescent="0.35">
      <c r="B43" s="33"/>
      <c r="C43" s="33"/>
      <c r="D43" s="33"/>
      <c r="E43" s="33"/>
      <c r="F43" s="33"/>
    </row>
    <row r="44" spans="2:6" x14ac:dyDescent="0.35">
      <c r="B44" s="33"/>
      <c r="C44" s="33"/>
      <c r="D44" s="33"/>
      <c r="E44" s="33"/>
      <c r="F44" s="33"/>
    </row>
    <row r="45" spans="2:6" x14ac:dyDescent="0.35">
      <c r="B45" s="33"/>
      <c r="C45" s="33"/>
      <c r="D45" s="33"/>
      <c r="E45" s="33"/>
      <c r="F45" s="33"/>
    </row>
    <row r="46" spans="2:6" x14ac:dyDescent="0.35">
      <c r="B46" s="33"/>
      <c r="C46" s="33"/>
      <c r="D46" s="33"/>
      <c r="E46" s="33"/>
      <c r="F46" s="33"/>
    </row>
    <row r="47" spans="2:6" x14ac:dyDescent="0.35">
      <c r="B47" s="33"/>
      <c r="C47" s="33"/>
      <c r="D47" s="33"/>
      <c r="E47" s="33"/>
      <c r="F47" s="33"/>
    </row>
    <row r="48" spans="2:6" x14ac:dyDescent="0.35">
      <c r="B48" s="33"/>
      <c r="C48" s="33"/>
      <c r="D48" s="33"/>
      <c r="E48" s="33"/>
      <c r="F48" s="33"/>
    </row>
    <row r="49" s="33" customFormat="1" x14ac:dyDescent="0.35"/>
    <row r="50" s="33" customFormat="1" x14ac:dyDescent="0.35"/>
    <row r="51" s="33" customFormat="1" x14ac:dyDescent="0.35"/>
    <row r="52" s="33" customFormat="1" x14ac:dyDescent="0.35"/>
    <row r="53" s="33" customFormat="1" x14ac:dyDescent="0.35"/>
    <row r="54" s="33" customFormat="1" x14ac:dyDescent="0.35"/>
  </sheetData>
  <mergeCells count="8">
    <mergeCell ref="B27:F27"/>
    <mergeCell ref="H27:L27"/>
    <mergeCell ref="B1:J1"/>
    <mergeCell ref="K1:L1"/>
    <mergeCell ref="B19:F19"/>
    <mergeCell ref="B4:F4"/>
    <mergeCell ref="H4:L4"/>
    <mergeCell ref="H19:L19"/>
  </mergeCells>
  <pageMargins left="0.75" right="0.75" top="1" bottom="1" header="0.5" footer="0.5"/>
  <pageSetup paperSize="9" scale="73" orientation="landscape" r:id="rId1"/>
  <headerFooter alignWithMargins="0">
    <oddHeader>&amp;L&amp;"Calibri"&amp;10&amp;K000000Official&amp;1#</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Z52"/>
  <sheetViews>
    <sheetView workbookViewId="0"/>
  </sheetViews>
  <sheetFormatPr defaultColWidth="9.109375" defaultRowHeight="10.199999999999999" x14ac:dyDescent="0.2"/>
  <cols>
    <col min="1" max="7" width="5.44140625" style="14" customWidth="1"/>
    <col min="8" max="8" width="2.88671875" style="14" customWidth="1"/>
    <col min="9" max="9" width="6" style="14" customWidth="1"/>
    <col min="10" max="15" width="5.44140625" style="14" customWidth="1"/>
    <col min="16" max="16" width="3" style="14" customWidth="1"/>
    <col min="17" max="16384" width="9.109375" style="14"/>
  </cols>
  <sheetData>
    <row r="1" spans="1:17" ht="13.2" x14ac:dyDescent="0.25">
      <c r="A1" s="13" t="s">
        <v>181</v>
      </c>
    </row>
    <row r="3" spans="1:17" x14ac:dyDescent="0.2">
      <c r="A3" s="15" t="s">
        <v>128</v>
      </c>
      <c r="I3" s="15" t="s">
        <v>129</v>
      </c>
      <c r="Q3" s="15" t="s">
        <v>130</v>
      </c>
    </row>
    <row r="4" spans="1:17" x14ac:dyDescent="0.2">
      <c r="A4" s="440" t="s">
        <v>131</v>
      </c>
      <c r="B4" s="442" t="s">
        <v>105</v>
      </c>
      <c r="C4" s="443"/>
      <c r="D4" s="443"/>
      <c r="E4" s="443"/>
      <c r="F4" s="443"/>
      <c r="G4" s="444"/>
      <c r="H4" s="16"/>
      <c r="I4" s="440" t="s">
        <v>131</v>
      </c>
      <c r="J4" s="442" t="s">
        <v>105</v>
      </c>
      <c r="K4" s="443"/>
      <c r="L4" s="443"/>
      <c r="M4" s="443"/>
      <c r="N4" s="443"/>
      <c r="O4" s="444"/>
      <c r="Q4" s="14" t="s">
        <v>149</v>
      </c>
    </row>
    <row r="5" spans="1:17" x14ac:dyDescent="0.2">
      <c r="A5" s="441"/>
      <c r="B5" s="17">
        <v>0</v>
      </c>
      <c r="C5" s="17">
        <v>1</v>
      </c>
      <c r="D5" s="17">
        <v>2</v>
      </c>
      <c r="E5" s="17">
        <v>3</v>
      </c>
      <c r="F5" s="17">
        <v>4</v>
      </c>
      <c r="G5" s="18" t="s">
        <v>106</v>
      </c>
      <c r="H5" s="16"/>
      <c r="I5" s="441"/>
      <c r="J5" s="17">
        <v>0</v>
      </c>
      <c r="K5" s="17">
        <v>1</v>
      </c>
      <c r="L5" s="17">
        <v>2</v>
      </c>
      <c r="M5" s="17">
        <v>3</v>
      </c>
      <c r="N5" s="17">
        <v>4</v>
      </c>
      <c r="O5" s="18" t="s">
        <v>106</v>
      </c>
      <c r="Q5" s="14" t="s">
        <v>180</v>
      </c>
    </row>
    <row r="6" spans="1:17" x14ac:dyDescent="0.2">
      <c r="A6" s="19" t="s">
        <v>134</v>
      </c>
      <c r="B6" s="20">
        <v>3.7174721189591076E-3</v>
      </c>
      <c r="C6" s="20">
        <v>3.7174721189591076E-3</v>
      </c>
      <c r="D6" s="20">
        <v>5.5555555555555552E-2</v>
      </c>
      <c r="E6" s="20">
        <v>0.1</v>
      </c>
      <c r="F6" s="20">
        <v>0</v>
      </c>
      <c r="G6" s="20">
        <v>0</v>
      </c>
      <c r="H6" s="16"/>
      <c r="I6" s="19" t="s">
        <v>134</v>
      </c>
      <c r="J6" s="20">
        <v>0.16666666666666666</v>
      </c>
      <c r="K6" s="20">
        <v>0.16666666666666666</v>
      </c>
      <c r="L6" s="20">
        <v>3.7499999999999999E-2</v>
      </c>
      <c r="M6" s="20">
        <v>0.2</v>
      </c>
      <c r="N6" s="20">
        <v>0.35514018691588783</v>
      </c>
      <c r="O6" s="20">
        <v>0.22222222222222221</v>
      </c>
      <c r="Q6" s="14" t="s">
        <v>179</v>
      </c>
    </row>
    <row r="7" spans="1:17" x14ac:dyDescent="0.2">
      <c r="A7" s="21" t="s">
        <v>136</v>
      </c>
      <c r="B7" s="20">
        <v>0</v>
      </c>
      <c r="C7" s="20">
        <v>0</v>
      </c>
      <c r="D7" s="20">
        <v>1.3888888888888888E-2</v>
      </c>
      <c r="E7" s="20">
        <v>7.0000000000000007E-2</v>
      </c>
      <c r="F7" s="20">
        <v>0</v>
      </c>
      <c r="G7" s="20">
        <v>0</v>
      </c>
      <c r="H7" s="16"/>
      <c r="I7" s="21" t="s">
        <v>136</v>
      </c>
      <c r="J7" s="20">
        <v>0</v>
      </c>
      <c r="K7" s="20">
        <v>0</v>
      </c>
      <c r="L7" s="20">
        <v>3.7499999999999999E-2</v>
      </c>
      <c r="M7" s="20">
        <v>9.4117647058823528E-2</v>
      </c>
      <c r="N7" s="20">
        <v>0.27102803738317754</v>
      </c>
      <c r="O7" s="20">
        <v>0.1388888888888889</v>
      </c>
    </row>
    <row r="8" spans="1:17" x14ac:dyDescent="0.2">
      <c r="A8" s="21" t="s">
        <v>138</v>
      </c>
      <c r="B8" s="20">
        <v>0</v>
      </c>
      <c r="C8" s="20">
        <v>0</v>
      </c>
      <c r="D8" s="20">
        <v>1.9230769230769232E-2</v>
      </c>
      <c r="E8" s="20">
        <v>0.11</v>
      </c>
      <c r="F8" s="20">
        <v>0</v>
      </c>
      <c r="G8" s="20">
        <v>0</v>
      </c>
      <c r="H8" s="16"/>
      <c r="I8" s="21" t="s">
        <v>138</v>
      </c>
      <c r="J8" s="20">
        <v>0</v>
      </c>
      <c r="K8" s="20">
        <v>0</v>
      </c>
      <c r="L8" s="20">
        <v>2.5000000000000001E-2</v>
      </c>
      <c r="M8" s="20">
        <v>0.1</v>
      </c>
      <c r="N8" s="20">
        <v>0.30841121495327101</v>
      </c>
      <c r="O8" s="20">
        <v>0.58333333333333337</v>
      </c>
    </row>
    <row r="9" spans="1:17" x14ac:dyDescent="0.2">
      <c r="A9" s="21" t="s">
        <v>139</v>
      </c>
      <c r="B9" s="20">
        <v>0</v>
      </c>
      <c r="C9" s="20">
        <v>0</v>
      </c>
      <c r="D9" s="20">
        <v>6.41025641025641E-3</v>
      </c>
      <c r="E9" s="20">
        <v>0.03</v>
      </c>
      <c r="F9" s="20">
        <v>0</v>
      </c>
      <c r="G9" s="20">
        <v>0</v>
      </c>
      <c r="H9" s="16"/>
      <c r="I9" s="21" t="s">
        <v>139</v>
      </c>
      <c r="J9" s="20">
        <v>0</v>
      </c>
      <c r="K9" s="20">
        <v>0</v>
      </c>
      <c r="L9" s="20">
        <v>1.2500000000000001E-2</v>
      </c>
      <c r="M9" s="20">
        <v>4.7058823529411764E-2</v>
      </c>
      <c r="N9" s="20">
        <v>0.13084112149532709</v>
      </c>
      <c r="O9" s="20">
        <v>0.25</v>
      </c>
    </row>
    <row r="10" spans="1:17" x14ac:dyDescent="0.2">
      <c r="A10" s="21" t="s">
        <v>140</v>
      </c>
      <c r="B10" s="20">
        <v>7.4349442379182153E-3</v>
      </c>
      <c r="C10" s="20">
        <v>7.4349442379182153E-3</v>
      </c>
      <c r="D10" s="20">
        <v>1.1752136752136752E-2</v>
      </c>
      <c r="E10" s="20">
        <v>0.02</v>
      </c>
      <c r="F10" s="20">
        <v>0</v>
      </c>
      <c r="G10" s="20">
        <v>0</v>
      </c>
      <c r="H10" s="16"/>
      <c r="I10" s="21" t="s">
        <v>140</v>
      </c>
      <c r="J10" s="20">
        <v>0</v>
      </c>
      <c r="K10" s="20">
        <v>0</v>
      </c>
      <c r="L10" s="20">
        <v>1.2500000000000001E-2</v>
      </c>
      <c r="M10" s="20">
        <v>1.1764705882352941E-2</v>
      </c>
      <c r="N10" s="20">
        <v>4.6728971962616821E-2</v>
      </c>
      <c r="O10" s="20">
        <v>0.22222222222222221</v>
      </c>
    </row>
    <row r="11" spans="1:17" x14ac:dyDescent="0.2">
      <c r="A11" s="19" t="s">
        <v>141</v>
      </c>
      <c r="B11" s="20">
        <v>0.5985130111524164</v>
      </c>
      <c r="C11" s="20">
        <v>0.5985130111524164</v>
      </c>
      <c r="D11" s="20">
        <v>0.69978632478632474</v>
      </c>
      <c r="E11" s="20">
        <v>0.42</v>
      </c>
      <c r="F11" s="20">
        <v>1.1428571428571428</v>
      </c>
      <c r="G11" s="20">
        <v>1.1428571428571428</v>
      </c>
      <c r="H11" s="16"/>
      <c r="I11" s="19" t="s">
        <v>141</v>
      </c>
      <c r="J11" s="20">
        <v>0.5</v>
      </c>
      <c r="K11" s="20">
        <v>0.5</v>
      </c>
      <c r="L11" s="20">
        <v>0.47499999999999998</v>
      </c>
      <c r="M11" s="20">
        <v>0.37647058823529411</v>
      </c>
      <c r="N11" s="20">
        <v>0.41121495327102803</v>
      </c>
      <c r="O11" s="20">
        <v>0.75</v>
      </c>
    </row>
    <row r="12" spans="1:17" x14ac:dyDescent="0.2">
      <c r="A12" s="19" t="s">
        <v>142</v>
      </c>
      <c r="B12" s="20">
        <v>0.53903345724907059</v>
      </c>
      <c r="C12" s="20">
        <v>0.53903345724907059</v>
      </c>
      <c r="D12" s="20">
        <v>0.63034188034188032</v>
      </c>
      <c r="E12" s="20">
        <v>0.56000000000000005</v>
      </c>
      <c r="F12" s="20">
        <v>0.7142857142857143</v>
      </c>
      <c r="G12" s="20">
        <v>0.7142857142857143</v>
      </c>
      <c r="H12" s="16"/>
      <c r="I12" s="19" t="s">
        <v>142</v>
      </c>
      <c r="J12" s="20">
        <v>0.5</v>
      </c>
      <c r="K12" s="20">
        <v>0.5</v>
      </c>
      <c r="L12" s="20">
        <v>0.75</v>
      </c>
      <c r="M12" s="20">
        <v>0.89411764705882357</v>
      </c>
      <c r="N12" s="20">
        <v>0.91588785046728971</v>
      </c>
      <c r="O12" s="20">
        <v>0.83333333333333337</v>
      </c>
    </row>
    <row r="13" spans="1:17" x14ac:dyDescent="0.2">
      <c r="A13" s="19" t="s">
        <v>143</v>
      </c>
      <c r="B13" s="20">
        <v>0.14869888475836432</v>
      </c>
      <c r="C13" s="20">
        <v>0.14869888475836432</v>
      </c>
      <c r="D13" s="20">
        <v>0.27777777777777779</v>
      </c>
      <c r="E13" s="20">
        <v>0.61</v>
      </c>
      <c r="F13" s="20">
        <v>0.42857142857142855</v>
      </c>
      <c r="G13" s="20">
        <v>0.42857142857142855</v>
      </c>
      <c r="H13" s="16"/>
      <c r="I13" s="19" t="s">
        <v>143</v>
      </c>
      <c r="J13" s="20">
        <v>0.33333333333333331</v>
      </c>
      <c r="K13" s="20">
        <v>0.33333333333333331</v>
      </c>
      <c r="L13" s="20">
        <v>0.33750000000000002</v>
      </c>
      <c r="M13" s="20">
        <v>0.46470588235294119</v>
      </c>
      <c r="N13" s="20">
        <v>0.7009345794392523</v>
      </c>
      <c r="O13" s="20">
        <v>0.91666666666666663</v>
      </c>
    </row>
    <row r="14" spans="1:17" x14ac:dyDescent="0.2">
      <c r="A14" s="19" t="s">
        <v>144</v>
      </c>
      <c r="B14" s="20">
        <v>9.6654275092936809E-2</v>
      </c>
      <c r="C14" s="20">
        <v>9.6654275092936809E-2</v>
      </c>
      <c r="D14" s="20">
        <v>8.3333333333333329E-2</v>
      </c>
      <c r="E14" s="20">
        <v>0.28000000000000003</v>
      </c>
      <c r="F14" s="20">
        <v>0.42857142857142855</v>
      </c>
      <c r="G14" s="20">
        <v>0.42857142857142855</v>
      </c>
      <c r="H14" s="16"/>
      <c r="I14" s="19" t="s">
        <v>144</v>
      </c>
      <c r="J14" s="20">
        <v>0</v>
      </c>
      <c r="K14" s="20">
        <v>0</v>
      </c>
      <c r="L14" s="20">
        <v>0.05</v>
      </c>
      <c r="M14" s="20">
        <v>0.14117647058823529</v>
      </c>
      <c r="N14" s="20">
        <v>0.13084112149532709</v>
      </c>
      <c r="O14" s="20">
        <v>2.7777777777777776E-2</v>
      </c>
    </row>
    <row r="15" spans="1:17" x14ac:dyDescent="0.2">
      <c r="A15" s="22" t="s">
        <v>145</v>
      </c>
      <c r="B15" s="20">
        <v>7.4349442379182153E-3</v>
      </c>
      <c r="C15" s="20">
        <v>7.4349442379182153E-3</v>
      </c>
      <c r="D15" s="20">
        <v>1.1752136752136752E-2</v>
      </c>
      <c r="E15" s="20">
        <v>0</v>
      </c>
      <c r="F15" s="20">
        <v>0</v>
      </c>
      <c r="G15" s="20">
        <v>0</v>
      </c>
      <c r="H15" s="16"/>
      <c r="I15" s="22" t="s">
        <v>145</v>
      </c>
      <c r="J15" s="20">
        <v>0</v>
      </c>
      <c r="K15" s="20">
        <v>0</v>
      </c>
      <c r="L15" s="20">
        <v>0</v>
      </c>
      <c r="M15" s="20">
        <v>5.8823529411764705E-3</v>
      </c>
      <c r="N15" s="20">
        <v>0</v>
      </c>
      <c r="O15" s="20">
        <v>0</v>
      </c>
    </row>
    <row r="16" spans="1:17" x14ac:dyDescent="0.2">
      <c r="A16" s="17" t="s">
        <v>26</v>
      </c>
      <c r="B16" s="23">
        <v>1.4014869888475838</v>
      </c>
      <c r="C16" s="23">
        <v>1.4014869888475838</v>
      </c>
      <c r="D16" s="23">
        <v>1.8098290598290598</v>
      </c>
      <c r="E16" s="23">
        <v>2.2000000000000002</v>
      </c>
      <c r="F16" s="23">
        <v>2.714285714285714</v>
      </c>
      <c r="G16" s="23">
        <v>2.714285714285714</v>
      </c>
      <c r="H16" s="16"/>
      <c r="I16" s="17" t="s">
        <v>26</v>
      </c>
      <c r="J16" s="24">
        <v>1.5</v>
      </c>
      <c r="K16" s="24">
        <v>1.5</v>
      </c>
      <c r="L16" s="24">
        <v>1.7375</v>
      </c>
      <c r="M16" s="24">
        <v>2.335294117647059</v>
      </c>
      <c r="N16" s="24">
        <v>3.2710280373831773</v>
      </c>
      <c r="O16" s="24">
        <v>3.9444444444444442</v>
      </c>
    </row>
    <row r="18" spans="1:17" x14ac:dyDescent="0.2">
      <c r="A18" s="15" t="s">
        <v>146</v>
      </c>
      <c r="B18" s="16"/>
      <c r="C18" s="16"/>
      <c r="D18" s="16"/>
      <c r="E18" s="16"/>
      <c r="F18" s="16"/>
      <c r="G18" s="16"/>
      <c r="H18" s="16"/>
      <c r="I18" s="25" t="s">
        <v>147</v>
      </c>
      <c r="J18" s="16"/>
      <c r="K18" s="16"/>
      <c r="L18" s="16"/>
      <c r="M18" s="16"/>
      <c r="N18" s="16"/>
      <c r="O18" s="16"/>
      <c r="Q18" s="15" t="s">
        <v>148</v>
      </c>
    </row>
    <row r="19" spans="1:17" x14ac:dyDescent="0.2">
      <c r="A19" s="436" t="s">
        <v>131</v>
      </c>
      <c r="B19" s="433" t="s">
        <v>105</v>
      </c>
      <c r="C19" s="434"/>
      <c r="D19" s="434"/>
      <c r="E19" s="434"/>
      <c r="F19" s="434"/>
      <c r="G19" s="435"/>
      <c r="I19" s="436" t="s">
        <v>131</v>
      </c>
      <c r="J19" s="433" t="s">
        <v>105</v>
      </c>
      <c r="K19" s="434"/>
      <c r="L19" s="434"/>
      <c r="M19" s="434"/>
      <c r="N19" s="434"/>
      <c r="O19" s="435"/>
      <c r="Q19" s="14" t="s">
        <v>149</v>
      </c>
    </row>
    <row r="20" spans="1:17" x14ac:dyDescent="0.2">
      <c r="A20" s="437"/>
      <c r="B20" s="17">
        <v>0</v>
      </c>
      <c r="C20" s="17">
        <v>1</v>
      </c>
      <c r="D20" s="17">
        <v>2</v>
      </c>
      <c r="E20" s="17">
        <v>3</v>
      </c>
      <c r="F20" s="17">
        <v>4</v>
      </c>
      <c r="G20" s="18" t="s">
        <v>106</v>
      </c>
      <c r="I20" s="437"/>
      <c r="J20" s="17">
        <v>0</v>
      </c>
      <c r="K20" s="17">
        <v>1</v>
      </c>
      <c r="L20" s="17">
        <v>2</v>
      </c>
      <c r="M20" s="17">
        <v>3</v>
      </c>
      <c r="N20" s="17">
        <v>4</v>
      </c>
      <c r="O20" s="18" t="s">
        <v>106</v>
      </c>
      <c r="Q20" s="14" t="s">
        <v>150</v>
      </c>
    </row>
    <row r="21" spans="1:17" x14ac:dyDescent="0.2">
      <c r="A21" s="26" t="s">
        <v>134</v>
      </c>
      <c r="B21" s="20">
        <v>0</v>
      </c>
      <c r="C21" s="20">
        <v>0</v>
      </c>
      <c r="D21" s="20">
        <v>0.14285714285714285</v>
      </c>
      <c r="E21" s="20">
        <v>0.14285714285714285</v>
      </c>
      <c r="F21" s="20">
        <v>0.22222222222222221</v>
      </c>
      <c r="G21" s="20">
        <v>0.22222222222222221</v>
      </c>
      <c r="I21" s="26" t="s">
        <v>134</v>
      </c>
      <c r="J21" s="20">
        <v>0</v>
      </c>
      <c r="K21" s="20">
        <v>0</v>
      </c>
      <c r="L21" s="20">
        <v>9.0909090909090912E-2</v>
      </c>
      <c r="M21" s="20">
        <v>0.22222222222222221</v>
      </c>
      <c r="N21" s="20">
        <v>0.22222222222222221</v>
      </c>
      <c r="O21" s="20">
        <v>0.22222222222222221</v>
      </c>
      <c r="Q21" s="14" t="s">
        <v>151</v>
      </c>
    </row>
    <row r="22" spans="1:17" x14ac:dyDescent="0.2">
      <c r="A22" s="27" t="s">
        <v>136</v>
      </c>
      <c r="B22" s="20">
        <v>0</v>
      </c>
      <c r="C22" s="20">
        <v>0</v>
      </c>
      <c r="D22" s="20">
        <v>9.5238095238095233E-2</v>
      </c>
      <c r="E22" s="20">
        <v>9.5238095238095233E-2</v>
      </c>
      <c r="F22" s="20">
        <v>0.33333333333333331</v>
      </c>
      <c r="G22" s="20">
        <v>0.33333333333333331</v>
      </c>
      <c r="I22" s="27" t="s">
        <v>136</v>
      </c>
      <c r="J22" s="20">
        <v>0</v>
      </c>
      <c r="K22" s="20">
        <v>0</v>
      </c>
      <c r="L22" s="20">
        <v>0</v>
      </c>
      <c r="M22" s="20">
        <v>0.33333333333333331</v>
      </c>
      <c r="N22" s="20">
        <v>0.33333333333333331</v>
      </c>
      <c r="O22" s="20">
        <v>0.33333333333333331</v>
      </c>
      <c r="Q22" s="14" t="s">
        <v>135</v>
      </c>
    </row>
    <row r="23" spans="1:17" x14ac:dyDescent="0.2">
      <c r="A23" s="27" t="s">
        <v>138</v>
      </c>
      <c r="B23" s="20">
        <v>0</v>
      </c>
      <c r="C23" s="20">
        <v>0</v>
      </c>
      <c r="D23" s="20">
        <v>2.3809523809523808E-2</v>
      </c>
      <c r="E23" s="20">
        <v>2.3809523809523808E-2</v>
      </c>
      <c r="F23" s="20">
        <v>0.1111111111111111</v>
      </c>
      <c r="G23" s="20">
        <v>0.1111111111111111</v>
      </c>
      <c r="I23" s="27" t="s">
        <v>138</v>
      </c>
      <c r="J23" s="20">
        <v>0</v>
      </c>
      <c r="K23" s="20">
        <v>0</v>
      </c>
      <c r="L23" s="20">
        <v>0.18181818181818182</v>
      </c>
      <c r="M23" s="20">
        <v>0.1111111111111111</v>
      </c>
      <c r="N23" s="20">
        <v>0.1111111111111111</v>
      </c>
      <c r="O23" s="20">
        <v>0.1111111111111111</v>
      </c>
      <c r="Q23" s="14" t="s">
        <v>137</v>
      </c>
    </row>
    <row r="24" spans="1:17" x14ac:dyDescent="0.2">
      <c r="A24" s="27" t="s">
        <v>139</v>
      </c>
      <c r="B24" s="20">
        <v>0</v>
      </c>
      <c r="C24" s="20">
        <v>0</v>
      </c>
      <c r="D24" s="20">
        <v>7.1428571428571425E-2</v>
      </c>
      <c r="E24" s="20">
        <v>7.1428571428571425E-2</v>
      </c>
      <c r="F24" s="20">
        <v>0.33333333333333331</v>
      </c>
      <c r="G24" s="20">
        <v>0.33333333333333331</v>
      </c>
      <c r="I24" s="27" t="s">
        <v>139</v>
      </c>
      <c r="J24" s="20">
        <v>0</v>
      </c>
      <c r="K24" s="20">
        <v>0</v>
      </c>
      <c r="L24" s="20">
        <v>0.27272727272727271</v>
      </c>
      <c r="M24" s="20">
        <v>0.33333333333333331</v>
      </c>
      <c r="N24" s="20">
        <v>0.33333333333333331</v>
      </c>
      <c r="O24" s="20">
        <v>0.33333333333333331</v>
      </c>
      <c r="Q24" s="14" t="s">
        <v>152</v>
      </c>
    </row>
    <row r="25" spans="1:17" x14ac:dyDescent="0.2">
      <c r="A25" s="27" t="s">
        <v>140</v>
      </c>
      <c r="B25" s="20">
        <v>0</v>
      </c>
      <c r="C25" s="20">
        <v>0</v>
      </c>
      <c r="D25" s="20">
        <v>2.3809523809523808E-2</v>
      </c>
      <c r="E25" s="20">
        <v>2.3809523809523808E-2</v>
      </c>
      <c r="F25" s="20">
        <v>0.22222222222222221</v>
      </c>
      <c r="G25" s="20">
        <v>0.22222222222222221</v>
      </c>
      <c r="I25" s="27" t="s">
        <v>140</v>
      </c>
      <c r="J25" s="20">
        <v>0</v>
      </c>
      <c r="K25" s="20">
        <v>0</v>
      </c>
      <c r="L25" s="20">
        <v>0</v>
      </c>
      <c r="M25" s="20">
        <v>0.22222222222222221</v>
      </c>
      <c r="N25" s="20">
        <v>0.22222222222222221</v>
      </c>
      <c r="O25" s="20">
        <v>0.22222222222222221</v>
      </c>
    </row>
    <row r="26" spans="1:17" x14ac:dyDescent="0.2">
      <c r="A26" s="26" t="s">
        <v>141</v>
      </c>
      <c r="B26" s="20">
        <v>0.25</v>
      </c>
      <c r="C26" s="20">
        <v>0.25</v>
      </c>
      <c r="D26" s="20">
        <v>0.5714285714285714</v>
      </c>
      <c r="E26" s="20">
        <v>0.5714285714285714</v>
      </c>
      <c r="F26" s="20">
        <v>0.77777777777777779</v>
      </c>
      <c r="G26" s="20">
        <v>0.77777777777777779</v>
      </c>
      <c r="I26" s="26" t="s">
        <v>141</v>
      </c>
      <c r="J26" s="20">
        <v>0.25</v>
      </c>
      <c r="K26" s="20">
        <v>0.25</v>
      </c>
      <c r="L26" s="20">
        <v>0.18181818181818182</v>
      </c>
      <c r="M26" s="20">
        <v>0.77777777777777779</v>
      </c>
      <c r="N26" s="20">
        <v>0.77777777777777779</v>
      </c>
      <c r="O26" s="20">
        <v>0.77777777777777779</v>
      </c>
    </row>
    <row r="27" spans="1:17" x14ac:dyDescent="0.2">
      <c r="A27" s="26" t="s">
        <v>142</v>
      </c>
      <c r="B27" s="20">
        <v>0.65</v>
      </c>
      <c r="C27" s="20">
        <v>0.65</v>
      </c>
      <c r="D27" s="20">
        <v>0.7142857142857143</v>
      </c>
      <c r="E27" s="20">
        <v>0.7142857142857143</v>
      </c>
      <c r="F27" s="20">
        <v>0.77777777777777779</v>
      </c>
      <c r="G27" s="20">
        <v>0.77777777777777779</v>
      </c>
      <c r="I27" s="26" t="s">
        <v>142</v>
      </c>
      <c r="J27" s="20">
        <v>0.65</v>
      </c>
      <c r="K27" s="20">
        <v>0.65</v>
      </c>
      <c r="L27" s="20">
        <v>0.90909090909090906</v>
      </c>
      <c r="M27" s="20">
        <v>0.77777777777777779</v>
      </c>
      <c r="N27" s="20">
        <v>0.77777777777777779</v>
      </c>
      <c r="O27" s="20">
        <v>0.77777777777777779</v>
      </c>
    </row>
    <row r="28" spans="1:17" x14ac:dyDescent="0.2">
      <c r="A28" s="26" t="s">
        <v>143</v>
      </c>
      <c r="B28" s="20">
        <v>0.25</v>
      </c>
      <c r="C28" s="20">
        <v>0.25</v>
      </c>
      <c r="D28" s="20">
        <v>0.21428571428571427</v>
      </c>
      <c r="E28" s="20">
        <v>0.21428571428571427</v>
      </c>
      <c r="F28" s="20">
        <v>0.77777777777777779</v>
      </c>
      <c r="G28" s="20">
        <v>0.77777777777777779</v>
      </c>
      <c r="I28" s="26" t="s">
        <v>143</v>
      </c>
      <c r="J28" s="20">
        <v>0.25</v>
      </c>
      <c r="K28" s="20">
        <v>0.25</v>
      </c>
      <c r="L28" s="20">
        <v>0.45454545454545453</v>
      </c>
      <c r="M28" s="20">
        <v>0.77777777777777779</v>
      </c>
      <c r="N28" s="20">
        <v>0.77777777777777779</v>
      </c>
      <c r="O28" s="20">
        <v>0.77777777777777779</v>
      </c>
    </row>
    <row r="29" spans="1:17" x14ac:dyDescent="0.2">
      <c r="A29" s="26" t="s">
        <v>144</v>
      </c>
      <c r="B29" s="20">
        <v>0</v>
      </c>
      <c r="C29" s="20">
        <v>0</v>
      </c>
      <c r="D29" s="20">
        <v>2.3809523809523808E-2</v>
      </c>
      <c r="E29" s="20">
        <v>2.3809523809523808E-2</v>
      </c>
      <c r="F29" s="20">
        <v>0.1111111111111111</v>
      </c>
      <c r="G29" s="20">
        <v>0.1111111111111111</v>
      </c>
      <c r="I29" s="26" t="s">
        <v>144</v>
      </c>
      <c r="J29" s="20">
        <v>0</v>
      </c>
      <c r="K29" s="20">
        <v>0</v>
      </c>
      <c r="L29" s="20">
        <v>0.18181818181818182</v>
      </c>
      <c r="M29" s="20">
        <v>0.1111111111111111</v>
      </c>
      <c r="N29" s="20">
        <v>0.1111111111111111</v>
      </c>
      <c r="O29" s="20">
        <v>0.1111111111111111</v>
      </c>
    </row>
    <row r="30" spans="1:17" x14ac:dyDescent="0.2">
      <c r="A30" s="28" t="s">
        <v>145</v>
      </c>
      <c r="B30" s="20">
        <v>0</v>
      </c>
      <c r="C30" s="20">
        <v>0</v>
      </c>
      <c r="D30" s="20">
        <v>0</v>
      </c>
      <c r="E30" s="20">
        <v>0</v>
      </c>
      <c r="F30" s="20">
        <v>0</v>
      </c>
      <c r="G30" s="20">
        <v>0</v>
      </c>
      <c r="I30" s="28" t="s">
        <v>145</v>
      </c>
      <c r="J30" s="20">
        <v>0</v>
      </c>
      <c r="K30" s="20">
        <v>0</v>
      </c>
      <c r="L30" s="20">
        <v>0</v>
      </c>
      <c r="M30" s="20">
        <v>0</v>
      </c>
      <c r="N30" s="20">
        <v>0</v>
      </c>
      <c r="O30" s="20">
        <v>0</v>
      </c>
    </row>
    <row r="31" spans="1:17" x14ac:dyDescent="0.2">
      <c r="A31" s="29" t="s">
        <v>26</v>
      </c>
      <c r="B31" s="30">
        <v>1.1499999999999999</v>
      </c>
      <c r="C31" s="30">
        <v>1.1499999999999999</v>
      </c>
      <c r="D31" s="30">
        <v>1.8809523809523807</v>
      </c>
      <c r="E31" s="30">
        <v>1.8809523809523807</v>
      </c>
      <c r="F31" s="23">
        <v>3.6666666666666665</v>
      </c>
      <c r="G31" s="23">
        <v>3.6666666666666665</v>
      </c>
      <c r="I31" s="29" t="s">
        <v>26</v>
      </c>
      <c r="J31" s="30">
        <v>1.1499999999999999</v>
      </c>
      <c r="K31" s="30">
        <v>1.1499999999999999</v>
      </c>
      <c r="L31" s="23">
        <v>2.2727272727272725</v>
      </c>
      <c r="M31" s="23">
        <v>3.6666666666666665</v>
      </c>
      <c r="N31" s="23">
        <v>3.6666666666666665</v>
      </c>
      <c r="O31" s="23">
        <v>3.6666666666666665</v>
      </c>
    </row>
    <row r="33" spans="1:26" x14ac:dyDescent="0.2">
      <c r="A33" s="15" t="s">
        <v>153</v>
      </c>
      <c r="B33" s="16"/>
      <c r="C33" s="16"/>
      <c r="D33" s="16"/>
      <c r="E33" s="16"/>
      <c r="F33" s="16"/>
      <c r="G33" s="16"/>
      <c r="H33" s="16"/>
      <c r="I33" s="25" t="s">
        <v>154</v>
      </c>
      <c r="J33" s="16"/>
      <c r="K33" s="16"/>
      <c r="L33" s="16"/>
      <c r="M33" s="16"/>
      <c r="N33" s="16"/>
      <c r="O33" s="16"/>
      <c r="Q33" s="15" t="s">
        <v>155</v>
      </c>
    </row>
    <row r="34" spans="1:26" x14ac:dyDescent="0.2">
      <c r="A34" s="436" t="s">
        <v>131</v>
      </c>
      <c r="B34" s="433" t="s">
        <v>105</v>
      </c>
      <c r="C34" s="434"/>
      <c r="D34" s="434"/>
      <c r="E34" s="434"/>
      <c r="F34" s="434"/>
      <c r="G34" s="435"/>
      <c r="I34" s="436" t="s">
        <v>131</v>
      </c>
      <c r="J34" s="433" t="s">
        <v>105</v>
      </c>
      <c r="K34" s="434"/>
      <c r="L34" s="434"/>
      <c r="M34" s="434"/>
      <c r="N34" s="434"/>
      <c r="O34" s="435"/>
      <c r="Q34" s="14" t="s">
        <v>149</v>
      </c>
    </row>
    <row r="35" spans="1:26" x14ac:dyDescent="0.2">
      <c r="A35" s="437"/>
      <c r="B35" s="17">
        <v>0</v>
      </c>
      <c r="C35" s="29">
        <v>1</v>
      </c>
      <c r="D35" s="17">
        <v>2</v>
      </c>
      <c r="E35" s="17">
        <v>3</v>
      </c>
      <c r="F35" s="17">
        <v>4</v>
      </c>
      <c r="G35" s="18" t="s">
        <v>106</v>
      </c>
      <c r="I35" s="437"/>
      <c r="J35" s="17">
        <v>0</v>
      </c>
      <c r="K35" s="17">
        <v>1</v>
      </c>
      <c r="L35" s="17">
        <v>2</v>
      </c>
      <c r="M35" s="29">
        <v>3</v>
      </c>
      <c r="N35" s="29">
        <v>4</v>
      </c>
      <c r="O35" s="54" t="s">
        <v>106</v>
      </c>
      <c r="Q35" s="14" t="s">
        <v>150</v>
      </c>
    </row>
    <row r="36" spans="1:26" x14ac:dyDescent="0.2">
      <c r="A36" s="26" t="s">
        <v>134</v>
      </c>
      <c r="B36" s="20">
        <v>8.8888888888888892E-2</v>
      </c>
      <c r="C36" s="20">
        <v>8.8888888888888892E-2</v>
      </c>
      <c r="D36" s="20">
        <v>0.21621621621621623</v>
      </c>
      <c r="E36" s="20">
        <v>0.21621621621621623</v>
      </c>
      <c r="F36" s="20">
        <v>0.15</v>
      </c>
      <c r="G36" s="20">
        <v>0.15</v>
      </c>
      <c r="I36" s="26" t="s">
        <v>134</v>
      </c>
      <c r="J36" s="20">
        <v>8.8888888888888892E-2</v>
      </c>
      <c r="K36" s="20">
        <v>8.8888888888888892E-2</v>
      </c>
      <c r="L36" s="20">
        <v>0.21621621621621623</v>
      </c>
      <c r="M36" s="20">
        <v>0.15</v>
      </c>
      <c r="N36" s="20">
        <v>0</v>
      </c>
      <c r="O36" s="20">
        <v>0</v>
      </c>
      <c r="Q36" s="14" t="s">
        <v>151</v>
      </c>
    </row>
    <row r="37" spans="1:26" x14ac:dyDescent="0.2">
      <c r="A37" s="27" t="s">
        <v>136</v>
      </c>
      <c r="B37" s="20">
        <v>0</v>
      </c>
      <c r="C37" s="20">
        <v>0</v>
      </c>
      <c r="D37" s="20">
        <v>0.10810810810810811</v>
      </c>
      <c r="E37" s="20">
        <v>0.10810810810810811</v>
      </c>
      <c r="F37" s="20">
        <v>0.32500000000000001</v>
      </c>
      <c r="G37" s="20">
        <v>0.32500000000000001</v>
      </c>
      <c r="I37" s="27" t="s">
        <v>136</v>
      </c>
      <c r="J37" s="20">
        <v>0</v>
      </c>
      <c r="K37" s="20">
        <v>0</v>
      </c>
      <c r="L37" s="20">
        <v>0.10810810810810811</v>
      </c>
      <c r="M37" s="20">
        <v>0.32500000000000001</v>
      </c>
      <c r="N37" s="20">
        <v>0</v>
      </c>
      <c r="O37" s="20">
        <v>0</v>
      </c>
      <c r="Q37" s="14" t="s">
        <v>135</v>
      </c>
    </row>
    <row r="38" spans="1:26" x14ac:dyDescent="0.2">
      <c r="A38" s="27" t="s">
        <v>138</v>
      </c>
      <c r="B38" s="20">
        <v>0</v>
      </c>
      <c r="C38" s="20">
        <v>0</v>
      </c>
      <c r="D38" s="20">
        <v>0.1891891891891892</v>
      </c>
      <c r="E38" s="20">
        <v>0.1891891891891892</v>
      </c>
      <c r="F38" s="20">
        <v>1.0249999999999999</v>
      </c>
      <c r="G38" s="20">
        <v>1.0249999999999999</v>
      </c>
      <c r="I38" s="27" t="s">
        <v>138</v>
      </c>
      <c r="J38" s="20">
        <v>0</v>
      </c>
      <c r="K38" s="20">
        <v>0</v>
      </c>
      <c r="L38" s="20">
        <v>0.1891891891891892</v>
      </c>
      <c r="M38" s="20">
        <v>1.0249999999999999</v>
      </c>
      <c r="N38" s="20">
        <v>0.6470588235294118</v>
      </c>
      <c r="O38" s="20">
        <v>0.6470588235294118</v>
      </c>
      <c r="Q38" s="14" t="s">
        <v>137</v>
      </c>
    </row>
    <row r="39" spans="1:26" x14ac:dyDescent="0.2">
      <c r="A39" s="27" t="s">
        <v>139</v>
      </c>
      <c r="B39" s="20">
        <v>0</v>
      </c>
      <c r="C39" s="20">
        <v>0</v>
      </c>
      <c r="D39" s="20">
        <v>8.1081081081081086E-2</v>
      </c>
      <c r="E39" s="20">
        <v>8.1081081081081086E-2</v>
      </c>
      <c r="F39" s="20">
        <v>0.6</v>
      </c>
      <c r="G39" s="20">
        <v>0.6</v>
      </c>
      <c r="I39" s="27" t="s">
        <v>139</v>
      </c>
      <c r="J39" s="20">
        <v>0</v>
      </c>
      <c r="K39" s="20">
        <v>0</v>
      </c>
      <c r="L39" s="20">
        <v>8.1081081081081086E-2</v>
      </c>
      <c r="M39" s="20">
        <v>0.6</v>
      </c>
      <c r="N39" s="20">
        <v>0.35294117647058826</v>
      </c>
      <c r="O39" s="20">
        <v>0.35294117647058826</v>
      </c>
      <c r="Q39" s="14" t="s">
        <v>156</v>
      </c>
    </row>
    <row r="40" spans="1:26" x14ac:dyDescent="0.2">
      <c r="A40" s="27" t="s">
        <v>140</v>
      </c>
      <c r="B40" s="20">
        <v>2.2222222222222223E-2</v>
      </c>
      <c r="C40" s="20">
        <v>2.2222222222222223E-2</v>
      </c>
      <c r="D40" s="20">
        <v>0.21621621621621623</v>
      </c>
      <c r="E40" s="20">
        <v>0.21621621621621623</v>
      </c>
      <c r="F40" s="20">
        <v>0.25</v>
      </c>
      <c r="G40" s="20">
        <v>0.25</v>
      </c>
      <c r="I40" s="27" t="s">
        <v>140</v>
      </c>
      <c r="J40" s="20">
        <v>2.2222222222222223E-2</v>
      </c>
      <c r="K40" s="20">
        <v>2.2222222222222223E-2</v>
      </c>
      <c r="L40" s="20">
        <v>0.21621621621621623</v>
      </c>
      <c r="M40" s="20">
        <v>0.25</v>
      </c>
      <c r="N40" s="20">
        <v>0.47058823529411764</v>
      </c>
      <c r="O40" s="20">
        <v>0.47058823529411764</v>
      </c>
      <c r="Q40" s="14" t="s">
        <v>178</v>
      </c>
    </row>
    <row r="41" spans="1:26" x14ac:dyDescent="0.2">
      <c r="A41" s="26" t="s">
        <v>141</v>
      </c>
      <c r="B41" s="20">
        <v>0.35555555555555557</v>
      </c>
      <c r="C41" s="20">
        <v>0.35555555555555557</v>
      </c>
      <c r="D41" s="20">
        <v>0.81081081081081086</v>
      </c>
      <c r="E41" s="20">
        <v>0.81081081081081086</v>
      </c>
      <c r="F41" s="20">
        <v>0.375</v>
      </c>
      <c r="G41" s="20">
        <v>0.375</v>
      </c>
      <c r="I41" s="26" t="s">
        <v>141</v>
      </c>
      <c r="J41" s="20">
        <v>0.35555555555555557</v>
      </c>
      <c r="K41" s="20">
        <v>0.35555555555555557</v>
      </c>
      <c r="L41" s="20">
        <v>0.81081081081081086</v>
      </c>
      <c r="M41" s="20">
        <v>0.375</v>
      </c>
      <c r="N41" s="20">
        <v>0.76470588235294112</v>
      </c>
      <c r="O41" s="20">
        <v>0.76470588235294112</v>
      </c>
    </row>
    <row r="42" spans="1:26" x14ac:dyDescent="0.2">
      <c r="A42" s="26" t="s">
        <v>142</v>
      </c>
      <c r="B42" s="20">
        <v>0.35555555555555557</v>
      </c>
      <c r="C42" s="20">
        <v>0.35555555555555557</v>
      </c>
      <c r="D42" s="20">
        <v>0.51351351351351349</v>
      </c>
      <c r="E42" s="20">
        <v>0.51351351351351349</v>
      </c>
      <c r="F42" s="20">
        <v>0.6</v>
      </c>
      <c r="G42" s="20">
        <v>0.6</v>
      </c>
      <c r="I42" s="26" t="s">
        <v>142</v>
      </c>
      <c r="J42" s="20">
        <v>0.35555555555555557</v>
      </c>
      <c r="K42" s="20">
        <v>0.35555555555555557</v>
      </c>
      <c r="L42" s="20">
        <v>0.51351351351351349</v>
      </c>
      <c r="M42" s="20">
        <v>0.6</v>
      </c>
      <c r="N42" s="20">
        <v>0.70588235294117652</v>
      </c>
      <c r="O42" s="20">
        <v>0.70588235294117652</v>
      </c>
    </row>
    <row r="43" spans="1:26" x14ac:dyDescent="0.2">
      <c r="A43" s="26" t="s">
        <v>143</v>
      </c>
      <c r="B43" s="20">
        <v>0.31111111111111112</v>
      </c>
      <c r="C43" s="20">
        <v>0.31111111111111112</v>
      </c>
      <c r="D43" s="20">
        <v>0.21621621621621623</v>
      </c>
      <c r="E43" s="20">
        <v>0.21621621621621623</v>
      </c>
      <c r="F43" s="20">
        <v>0.67500000000000004</v>
      </c>
      <c r="G43" s="20">
        <v>0.67500000000000004</v>
      </c>
      <c r="I43" s="26" t="s">
        <v>143</v>
      </c>
      <c r="J43" s="20">
        <v>0.31111111111111112</v>
      </c>
      <c r="K43" s="20">
        <v>0.31111111111111112</v>
      </c>
      <c r="L43" s="20">
        <v>0.21621621621621623</v>
      </c>
      <c r="M43" s="20">
        <v>0.67500000000000004</v>
      </c>
      <c r="N43" s="20">
        <v>1.0588235294117647</v>
      </c>
      <c r="O43" s="20">
        <v>1.0588235294117647</v>
      </c>
    </row>
    <row r="44" spans="1:26" x14ac:dyDescent="0.2">
      <c r="A44" s="26" t="s">
        <v>144</v>
      </c>
      <c r="B44" s="20">
        <v>0.24444444444444444</v>
      </c>
      <c r="C44" s="20">
        <v>0.24444444444444444</v>
      </c>
      <c r="D44" s="20">
        <v>2.7027027027027029E-2</v>
      </c>
      <c r="E44" s="20">
        <v>2.7027027027027029E-2</v>
      </c>
      <c r="F44" s="20">
        <v>7.4999999999999997E-2</v>
      </c>
      <c r="G44" s="20">
        <v>7.4999999999999997E-2</v>
      </c>
      <c r="I44" s="26" t="s">
        <v>144</v>
      </c>
      <c r="J44" s="20">
        <v>0.24444444444444444</v>
      </c>
      <c r="K44" s="20">
        <v>0.24444444444444444</v>
      </c>
      <c r="L44" s="20">
        <v>2.7027027027027029E-2</v>
      </c>
      <c r="M44" s="20">
        <v>7.4999999999999997E-2</v>
      </c>
      <c r="N44" s="20">
        <v>5.8823529411764705E-2</v>
      </c>
      <c r="O44" s="20">
        <v>5.8823529411764705E-2</v>
      </c>
    </row>
    <row r="45" spans="1:26" x14ac:dyDescent="0.2">
      <c r="A45" s="28" t="s">
        <v>145</v>
      </c>
      <c r="B45" s="20">
        <v>0</v>
      </c>
      <c r="C45" s="20">
        <v>0</v>
      </c>
      <c r="D45" s="20">
        <v>0</v>
      </c>
      <c r="E45" s="20">
        <v>0</v>
      </c>
      <c r="F45" s="20">
        <v>0</v>
      </c>
      <c r="G45" s="20">
        <v>0</v>
      </c>
      <c r="I45" s="28" t="s">
        <v>145</v>
      </c>
      <c r="J45" s="20">
        <v>0</v>
      </c>
      <c r="K45" s="20">
        <v>0</v>
      </c>
      <c r="L45" s="20">
        <v>0</v>
      </c>
      <c r="M45" s="20">
        <v>0</v>
      </c>
      <c r="N45" s="20">
        <v>0</v>
      </c>
      <c r="O45" s="20">
        <v>0</v>
      </c>
    </row>
    <row r="46" spans="1:26" x14ac:dyDescent="0.2">
      <c r="A46" s="29" t="s">
        <v>26</v>
      </c>
      <c r="B46" s="30">
        <v>1.3777777777777778</v>
      </c>
      <c r="C46" s="30">
        <v>1.3777777777777778</v>
      </c>
      <c r="D46" s="30">
        <v>2.378378378378379</v>
      </c>
      <c r="E46" s="30">
        <v>2.378378378378379</v>
      </c>
      <c r="F46" s="30">
        <v>4.0750000000000002</v>
      </c>
      <c r="G46" s="30">
        <v>4.0750000000000002</v>
      </c>
      <c r="I46" s="29" t="s">
        <v>26</v>
      </c>
      <c r="J46" s="30">
        <v>1.3777777777777778</v>
      </c>
      <c r="K46" s="30">
        <v>1.3777777777777778</v>
      </c>
      <c r="L46" s="30">
        <v>2.378378378378379</v>
      </c>
      <c r="M46" s="30">
        <v>4.0750000000000002</v>
      </c>
      <c r="N46" s="30">
        <v>4.0588235294117645</v>
      </c>
      <c r="O46" s="30">
        <v>4.0588235294117645</v>
      </c>
    </row>
    <row r="48" spans="1:26" x14ac:dyDescent="0.2">
      <c r="A48" s="432" t="s">
        <v>177</v>
      </c>
      <c r="B48" s="432"/>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row>
    <row r="49" spans="1:26" x14ac:dyDescent="0.2">
      <c r="A49" s="438" t="s">
        <v>158</v>
      </c>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row>
    <row r="50" spans="1:26" x14ac:dyDescent="0.2">
      <c r="A50" s="439" t="s">
        <v>159</v>
      </c>
      <c r="B50" s="439"/>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39"/>
    </row>
    <row r="51" spans="1:26" x14ac:dyDescent="0.2">
      <c r="A51" s="432" t="s">
        <v>160</v>
      </c>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2"/>
      <c r="Z51" s="432"/>
    </row>
    <row r="52" spans="1:26" x14ac:dyDescent="0.2">
      <c r="A52" s="432" t="s">
        <v>161</v>
      </c>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row>
  </sheetData>
  <mergeCells count="17">
    <mergeCell ref="A4:A5"/>
    <mergeCell ref="B4:G4"/>
    <mergeCell ref="I4:I5"/>
    <mergeCell ref="J4:O4"/>
    <mergeCell ref="A51:Z51"/>
    <mergeCell ref="A52:Z52"/>
    <mergeCell ref="J19:O19"/>
    <mergeCell ref="A19:A20"/>
    <mergeCell ref="B19:G19"/>
    <mergeCell ref="I19:I20"/>
    <mergeCell ref="A34:A35"/>
    <mergeCell ref="B34:G34"/>
    <mergeCell ref="I34:I35"/>
    <mergeCell ref="J34:O34"/>
    <mergeCell ref="A48:Z48"/>
    <mergeCell ref="A49:Z49"/>
    <mergeCell ref="A50:Z50"/>
  </mergeCells>
  <pageMargins left="0.75" right="0.75" top="1" bottom="1" header="0.5" footer="0.5"/>
  <pageSetup paperSize="8" orientation="landscape" r:id="rId1"/>
  <headerFooter alignWithMargins="0">
    <oddHeader>&amp;L&amp;"Calibri"&amp;10&amp;K000000Official&amp;1#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Y52"/>
  <sheetViews>
    <sheetView workbookViewId="0"/>
  </sheetViews>
  <sheetFormatPr defaultColWidth="9.109375" defaultRowHeight="10.199999999999999" x14ac:dyDescent="0.2"/>
  <cols>
    <col min="1" max="1" width="6.44140625" style="14" customWidth="1"/>
    <col min="2" max="7" width="5.44140625" style="14" customWidth="1"/>
    <col min="8" max="8" width="2.88671875" style="14" customWidth="1"/>
    <col min="9" max="9" width="6" style="14" customWidth="1"/>
    <col min="10" max="15" width="5.44140625" style="14" customWidth="1"/>
    <col min="16" max="16" width="3" style="14" customWidth="1"/>
    <col min="17" max="16384" width="9.109375" style="14"/>
  </cols>
  <sheetData>
    <row r="1" spans="1:17" ht="13.2" x14ac:dyDescent="0.25">
      <c r="A1" s="13" t="s">
        <v>127</v>
      </c>
    </row>
    <row r="3" spans="1:17" x14ac:dyDescent="0.2">
      <c r="A3" s="15" t="s">
        <v>128</v>
      </c>
      <c r="I3" s="15" t="s">
        <v>129</v>
      </c>
      <c r="Q3" s="15" t="s">
        <v>130</v>
      </c>
    </row>
    <row r="4" spans="1:17" x14ac:dyDescent="0.2">
      <c r="A4" s="440" t="s">
        <v>131</v>
      </c>
      <c r="B4" s="443" t="s">
        <v>105</v>
      </c>
      <c r="C4" s="443"/>
      <c r="D4" s="443"/>
      <c r="E4" s="443"/>
      <c r="F4" s="443"/>
      <c r="G4" s="444"/>
      <c r="H4" s="16"/>
      <c r="I4" s="440" t="s">
        <v>131</v>
      </c>
      <c r="J4" s="442" t="s">
        <v>105</v>
      </c>
      <c r="K4" s="443"/>
      <c r="L4" s="443"/>
      <c r="M4" s="443"/>
      <c r="N4" s="443"/>
      <c r="O4" s="444"/>
      <c r="Q4" s="14" t="s">
        <v>132</v>
      </c>
    </row>
    <row r="5" spans="1:17" x14ac:dyDescent="0.2">
      <c r="A5" s="441"/>
      <c r="B5" s="17">
        <v>0</v>
      </c>
      <c r="C5" s="17">
        <v>1</v>
      </c>
      <c r="D5" s="17">
        <v>2</v>
      </c>
      <c r="E5" s="17">
        <v>3</v>
      </c>
      <c r="F5" s="17">
        <v>4</v>
      </c>
      <c r="G5" s="18" t="s">
        <v>106</v>
      </c>
      <c r="H5" s="16"/>
      <c r="I5" s="441"/>
      <c r="J5" s="17">
        <v>0</v>
      </c>
      <c r="K5" s="17">
        <v>1</v>
      </c>
      <c r="L5" s="17">
        <v>2</v>
      </c>
      <c r="M5" s="17">
        <v>3</v>
      </c>
      <c r="N5" s="17">
        <v>4</v>
      </c>
      <c r="O5" s="18" t="s">
        <v>106</v>
      </c>
      <c r="Q5" s="14" t="s">
        <v>133</v>
      </c>
    </row>
    <row r="6" spans="1:17" x14ac:dyDescent="0.2">
      <c r="A6" s="19" t="s">
        <v>134</v>
      </c>
      <c r="B6" s="20">
        <v>0.05</v>
      </c>
      <c r="C6" s="20">
        <v>1.9512195121951219E-2</v>
      </c>
      <c r="D6" s="20">
        <v>7.3065902578796568E-2</v>
      </c>
      <c r="E6" s="20">
        <v>0.14084507042253522</v>
      </c>
      <c r="F6" s="20">
        <v>0.14084507042253522</v>
      </c>
      <c r="G6" s="20">
        <v>0.21428571428571427</v>
      </c>
      <c r="H6" s="16"/>
      <c r="I6" s="19" t="s">
        <v>134</v>
      </c>
      <c r="J6" s="20">
        <v>0.05</v>
      </c>
      <c r="K6" s="20">
        <v>1.9512195121951219E-2</v>
      </c>
      <c r="L6" s="20">
        <v>3.3898305084745763E-2</v>
      </c>
      <c r="M6" s="20">
        <v>0.171875</v>
      </c>
      <c r="N6" s="20">
        <v>0.21428571428571427</v>
      </c>
      <c r="O6" s="20">
        <v>0.2</v>
      </c>
      <c r="Q6" s="14" t="s">
        <v>135</v>
      </c>
    </row>
    <row r="7" spans="1:17" x14ac:dyDescent="0.2">
      <c r="A7" s="21" t="s">
        <v>136</v>
      </c>
      <c r="B7" s="20">
        <v>0</v>
      </c>
      <c r="C7" s="20">
        <v>9.7560975609756097E-3</v>
      </c>
      <c r="D7" s="20">
        <v>2.2922636103151862E-2</v>
      </c>
      <c r="E7" s="20">
        <v>9.8591549295774641E-2</v>
      </c>
      <c r="F7" s="20">
        <v>9.8591549295774641E-2</v>
      </c>
      <c r="G7" s="20">
        <v>0.27142857142857141</v>
      </c>
      <c r="H7" s="16"/>
      <c r="I7" s="21" t="s">
        <v>136</v>
      </c>
      <c r="J7" s="20">
        <v>0</v>
      </c>
      <c r="K7" s="20">
        <v>9.7560975609756097E-3</v>
      </c>
      <c r="L7" s="20">
        <v>3.3898305084745763E-2</v>
      </c>
      <c r="M7" s="20">
        <v>0.1015625</v>
      </c>
      <c r="N7" s="20">
        <v>0.27142857142857141</v>
      </c>
      <c r="O7" s="20">
        <v>0.1</v>
      </c>
      <c r="Q7" s="14" t="s">
        <v>137</v>
      </c>
    </row>
    <row r="8" spans="1:17" x14ac:dyDescent="0.2">
      <c r="A8" s="21" t="s">
        <v>138</v>
      </c>
      <c r="B8" s="20">
        <v>0</v>
      </c>
      <c r="C8" s="20">
        <v>4.8780487804878049E-3</v>
      </c>
      <c r="D8" s="20">
        <v>1.8624641833810889E-2</v>
      </c>
      <c r="E8" s="20">
        <v>0.16901408450704225</v>
      </c>
      <c r="F8" s="20">
        <v>0.16901408450704225</v>
      </c>
      <c r="G8" s="20">
        <v>0.38571428571428573</v>
      </c>
      <c r="H8" s="16"/>
      <c r="I8" s="21" t="s">
        <v>138</v>
      </c>
      <c r="J8" s="20">
        <v>0</v>
      </c>
      <c r="K8" s="20">
        <v>4.8780487804878049E-3</v>
      </c>
      <c r="L8" s="20">
        <v>0</v>
      </c>
      <c r="M8" s="20">
        <v>0.140625</v>
      </c>
      <c r="N8" s="20">
        <v>0.38571428571428573</v>
      </c>
      <c r="O8" s="20">
        <v>0.5</v>
      </c>
    </row>
    <row r="9" spans="1:17" x14ac:dyDescent="0.2">
      <c r="A9" s="21" t="s">
        <v>139</v>
      </c>
      <c r="B9" s="20">
        <v>0</v>
      </c>
      <c r="C9" s="20">
        <v>0</v>
      </c>
      <c r="D9" s="20">
        <v>1.0028653295128941E-2</v>
      </c>
      <c r="E9" s="20">
        <v>5.6338028169014086E-2</v>
      </c>
      <c r="F9" s="20">
        <v>5.6338028169014086E-2</v>
      </c>
      <c r="G9" s="20">
        <v>0.12857142857142856</v>
      </c>
      <c r="H9" s="16"/>
      <c r="I9" s="21" t="s">
        <v>139</v>
      </c>
      <c r="J9" s="20">
        <v>0</v>
      </c>
      <c r="K9" s="20">
        <v>0</v>
      </c>
      <c r="L9" s="20">
        <v>3.3898305084745763E-2</v>
      </c>
      <c r="M9" s="20">
        <v>7.8125E-2</v>
      </c>
      <c r="N9" s="20">
        <v>0.12857142857142856</v>
      </c>
      <c r="O9" s="20">
        <v>0.4</v>
      </c>
    </row>
    <row r="10" spans="1:17" x14ac:dyDescent="0.2">
      <c r="A10" s="21" t="s">
        <v>140</v>
      </c>
      <c r="B10" s="20">
        <v>0</v>
      </c>
      <c r="C10" s="20">
        <v>0</v>
      </c>
      <c r="D10" s="20">
        <v>8.5959885386819486E-3</v>
      </c>
      <c r="E10" s="20">
        <v>2.8169014084507043E-2</v>
      </c>
      <c r="F10" s="20">
        <v>2.8169014084507043E-2</v>
      </c>
      <c r="G10" s="20">
        <v>5.7142857142857141E-2</v>
      </c>
      <c r="H10" s="16"/>
      <c r="I10" s="21" t="s">
        <v>140</v>
      </c>
      <c r="J10" s="20">
        <v>0</v>
      </c>
      <c r="K10" s="20">
        <v>0</v>
      </c>
      <c r="L10" s="20">
        <v>1.6949152542372881E-2</v>
      </c>
      <c r="M10" s="20">
        <v>4.6875E-2</v>
      </c>
      <c r="N10" s="20">
        <v>5.7142857142857141E-2</v>
      </c>
      <c r="O10" s="20">
        <v>0.1</v>
      </c>
    </row>
    <row r="11" spans="1:17" x14ac:dyDescent="0.2">
      <c r="A11" s="19" t="s">
        <v>141</v>
      </c>
      <c r="B11" s="20">
        <v>0.6</v>
      </c>
      <c r="C11" s="20">
        <v>0.57560975609756093</v>
      </c>
      <c r="D11" s="20">
        <v>0.50716332378223494</v>
      </c>
      <c r="E11" s="20">
        <v>0.29577464788732394</v>
      </c>
      <c r="F11" s="20">
        <v>0.29577464788732394</v>
      </c>
      <c r="G11" s="20">
        <v>0.12857142857142856</v>
      </c>
      <c r="H11" s="16"/>
      <c r="I11" s="19" t="s">
        <v>141</v>
      </c>
      <c r="J11" s="20">
        <v>0.6</v>
      </c>
      <c r="K11" s="20">
        <v>0.57560975609756093</v>
      </c>
      <c r="L11" s="20">
        <v>0.23728813559322035</v>
      </c>
      <c r="M11" s="20">
        <v>0.3203125</v>
      </c>
      <c r="N11" s="20">
        <v>0.12857142857142856</v>
      </c>
      <c r="O11" s="20">
        <v>0.15</v>
      </c>
    </row>
    <row r="12" spans="1:17" x14ac:dyDescent="0.2">
      <c r="A12" s="19" t="s">
        <v>142</v>
      </c>
      <c r="B12" s="20">
        <v>0.35</v>
      </c>
      <c r="C12" s="20">
        <v>0.53170731707317076</v>
      </c>
      <c r="D12" s="20">
        <v>0.61461318051575931</v>
      </c>
      <c r="E12" s="20">
        <v>0.52112676056338025</v>
      </c>
      <c r="F12" s="20">
        <v>0.52112676056338025</v>
      </c>
      <c r="G12" s="20">
        <v>0.6</v>
      </c>
      <c r="H12" s="16"/>
      <c r="I12" s="19" t="s">
        <v>142</v>
      </c>
      <c r="J12" s="20">
        <v>0.35</v>
      </c>
      <c r="K12" s="20">
        <v>0.53170731707317076</v>
      </c>
      <c r="L12" s="20">
        <v>0.71186440677966101</v>
      </c>
      <c r="M12" s="20">
        <v>0.8046875</v>
      </c>
      <c r="N12" s="20">
        <v>0.6</v>
      </c>
      <c r="O12" s="20">
        <v>0.5</v>
      </c>
    </row>
    <row r="13" spans="1:17" x14ac:dyDescent="0.2">
      <c r="A13" s="19" t="s">
        <v>143</v>
      </c>
      <c r="B13" s="20">
        <v>0.35</v>
      </c>
      <c r="C13" s="20">
        <v>0.23414634146341465</v>
      </c>
      <c r="D13" s="20">
        <v>0.32378223495702008</v>
      </c>
      <c r="E13" s="20">
        <v>0.74647887323943662</v>
      </c>
      <c r="F13" s="20">
        <v>0.74647887323943662</v>
      </c>
      <c r="G13" s="20">
        <v>0.91428571428571426</v>
      </c>
      <c r="H13" s="16"/>
      <c r="I13" s="19" t="s">
        <v>143</v>
      </c>
      <c r="J13" s="20">
        <v>0.35</v>
      </c>
      <c r="K13" s="20">
        <v>0.23414634146341465</v>
      </c>
      <c r="L13" s="20">
        <v>0.52542372881355937</v>
      </c>
      <c r="M13" s="20">
        <v>0.5859375</v>
      </c>
      <c r="N13" s="20">
        <v>0.91428571428571426</v>
      </c>
      <c r="O13" s="20">
        <v>1.1000000000000001</v>
      </c>
    </row>
    <row r="14" spans="1:17" x14ac:dyDescent="0.2">
      <c r="A14" s="19" t="s">
        <v>144</v>
      </c>
      <c r="B14" s="20">
        <v>0</v>
      </c>
      <c r="C14" s="20">
        <v>9.7560975609756101E-2</v>
      </c>
      <c r="D14" s="20">
        <v>0.15616045845272206</v>
      </c>
      <c r="E14" s="20">
        <v>0.23943661971830985</v>
      </c>
      <c r="F14" s="20">
        <v>0.23943661971830985</v>
      </c>
      <c r="G14" s="20">
        <v>0.25714285714285712</v>
      </c>
      <c r="H14" s="16"/>
      <c r="I14" s="19" t="s">
        <v>144</v>
      </c>
      <c r="J14" s="20">
        <v>0</v>
      </c>
      <c r="K14" s="20">
        <v>9.7560975609756101E-2</v>
      </c>
      <c r="L14" s="20">
        <v>0.15254237288135594</v>
      </c>
      <c r="M14" s="20">
        <v>0.21875</v>
      </c>
      <c r="N14" s="20">
        <v>0.25714285714285712</v>
      </c>
      <c r="O14" s="20">
        <v>0.15</v>
      </c>
    </row>
    <row r="15" spans="1:17" x14ac:dyDescent="0.2">
      <c r="A15" s="22" t="s">
        <v>145</v>
      </c>
      <c r="B15" s="20">
        <v>0</v>
      </c>
      <c r="C15" s="20">
        <v>4.8780487804878049E-3</v>
      </c>
      <c r="D15" s="20">
        <v>3.0085959885386818E-2</v>
      </c>
      <c r="E15" s="20">
        <v>4.2253521126760563E-2</v>
      </c>
      <c r="F15" s="20">
        <v>4.2253521126760563E-2</v>
      </c>
      <c r="G15" s="20">
        <v>0</v>
      </c>
      <c r="H15" s="16"/>
      <c r="I15" s="22" t="s">
        <v>145</v>
      </c>
      <c r="J15" s="20">
        <v>0</v>
      </c>
      <c r="K15" s="20">
        <v>4.8780487804878049E-3</v>
      </c>
      <c r="L15" s="20">
        <v>0</v>
      </c>
      <c r="M15" s="20">
        <v>1.5625E-2</v>
      </c>
      <c r="N15" s="20">
        <v>0</v>
      </c>
      <c r="O15" s="20">
        <v>0</v>
      </c>
    </row>
    <row r="16" spans="1:17" x14ac:dyDescent="0.2">
      <c r="A16" s="17" t="s">
        <v>26</v>
      </c>
      <c r="B16" s="23">
        <v>1.35</v>
      </c>
      <c r="C16" s="23">
        <v>1.4780487804878051</v>
      </c>
      <c r="D16" s="23">
        <v>1.7650429799426934</v>
      </c>
      <c r="E16" s="23">
        <v>2.3380281690140845</v>
      </c>
      <c r="F16" s="23">
        <v>2.3380281690140845</v>
      </c>
      <c r="G16" s="24">
        <v>2.9571428571428569</v>
      </c>
      <c r="H16" s="16"/>
      <c r="I16" s="17" t="s">
        <v>26</v>
      </c>
      <c r="J16" s="23">
        <v>1.35</v>
      </c>
      <c r="K16" s="23">
        <v>1.4780487804878051</v>
      </c>
      <c r="L16" s="24">
        <v>1.745762711864407</v>
      </c>
      <c r="M16" s="24">
        <v>2.484375</v>
      </c>
      <c r="N16" s="24">
        <v>2.9571428571428569</v>
      </c>
      <c r="O16" s="24">
        <v>3.2</v>
      </c>
    </row>
    <row r="18" spans="1:17" x14ac:dyDescent="0.2">
      <c r="A18" s="15" t="s">
        <v>146</v>
      </c>
      <c r="B18" s="16"/>
      <c r="C18" s="16"/>
      <c r="D18" s="16"/>
      <c r="E18" s="16"/>
      <c r="F18" s="16"/>
      <c r="G18" s="16"/>
      <c r="H18" s="16"/>
      <c r="I18" s="25" t="s">
        <v>147</v>
      </c>
      <c r="J18" s="16"/>
      <c r="K18" s="16"/>
      <c r="L18" s="16"/>
      <c r="M18" s="16"/>
      <c r="N18" s="16"/>
      <c r="O18" s="16"/>
      <c r="Q18" s="15" t="s">
        <v>148</v>
      </c>
    </row>
    <row r="19" spans="1:17" x14ac:dyDescent="0.2">
      <c r="A19" s="440" t="s">
        <v>131</v>
      </c>
      <c r="B19" s="442" t="s">
        <v>105</v>
      </c>
      <c r="C19" s="443"/>
      <c r="D19" s="443"/>
      <c r="E19" s="443"/>
      <c r="F19" s="443"/>
      <c r="G19" s="444"/>
      <c r="I19" s="436" t="s">
        <v>131</v>
      </c>
      <c r="J19" s="433" t="s">
        <v>105</v>
      </c>
      <c r="K19" s="434"/>
      <c r="L19" s="434"/>
      <c r="M19" s="434"/>
      <c r="N19" s="434"/>
      <c r="O19" s="435"/>
      <c r="Q19" s="14" t="s">
        <v>149</v>
      </c>
    </row>
    <row r="20" spans="1:17" x14ac:dyDescent="0.2">
      <c r="A20" s="441"/>
      <c r="B20" s="17">
        <v>0</v>
      </c>
      <c r="C20" s="17">
        <v>1</v>
      </c>
      <c r="D20" s="17">
        <v>2</v>
      </c>
      <c r="E20" s="17">
        <v>3</v>
      </c>
      <c r="F20" s="17">
        <v>4</v>
      </c>
      <c r="G20" s="18" t="s">
        <v>106</v>
      </c>
      <c r="I20" s="437"/>
      <c r="J20" s="17">
        <v>0</v>
      </c>
      <c r="K20" s="17">
        <v>1</v>
      </c>
      <c r="L20" s="17">
        <v>2</v>
      </c>
      <c r="M20" s="17">
        <v>3</v>
      </c>
      <c r="N20" s="17">
        <v>4</v>
      </c>
      <c r="O20" s="18" t="s">
        <v>106</v>
      </c>
      <c r="Q20" s="14" t="s">
        <v>150</v>
      </c>
    </row>
    <row r="21" spans="1:17" x14ac:dyDescent="0.2">
      <c r="A21" s="19" t="s">
        <v>134</v>
      </c>
      <c r="B21" s="20">
        <v>8.3333333333333329E-2</v>
      </c>
      <c r="C21" s="20">
        <v>8.3333333333333329E-2</v>
      </c>
      <c r="D21" s="20">
        <v>4.5454545454545456E-2</v>
      </c>
      <c r="E21" s="20">
        <v>4.5454545454545456E-2</v>
      </c>
      <c r="F21" s="20">
        <v>0.16666666666666666</v>
      </c>
      <c r="G21" s="20">
        <v>0.16666666666666666</v>
      </c>
      <c r="I21" s="26" t="s">
        <v>134</v>
      </c>
      <c r="J21" s="20">
        <v>8.3333333333333329E-2</v>
      </c>
      <c r="K21" s="20">
        <v>8.3333333333333329E-2</v>
      </c>
      <c r="L21" s="20">
        <v>0.4</v>
      </c>
      <c r="M21" s="20">
        <v>0.16666666666666666</v>
      </c>
      <c r="N21" s="20">
        <v>0.16666666666666666</v>
      </c>
      <c r="O21" s="20">
        <v>0.16666666666666666</v>
      </c>
      <c r="Q21" s="14" t="s">
        <v>151</v>
      </c>
    </row>
    <row r="22" spans="1:17" x14ac:dyDescent="0.2">
      <c r="A22" s="21" t="s">
        <v>136</v>
      </c>
      <c r="B22" s="20">
        <v>0</v>
      </c>
      <c r="C22" s="20">
        <v>0</v>
      </c>
      <c r="D22" s="20">
        <v>0.27272727272727271</v>
      </c>
      <c r="E22" s="20">
        <v>0.27272727272727271</v>
      </c>
      <c r="F22" s="20">
        <v>0.16666666666666666</v>
      </c>
      <c r="G22" s="20">
        <v>0.16666666666666666</v>
      </c>
      <c r="I22" s="27" t="s">
        <v>136</v>
      </c>
      <c r="J22" s="20">
        <v>0</v>
      </c>
      <c r="K22" s="20">
        <v>0</v>
      </c>
      <c r="L22" s="20">
        <v>0.2</v>
      </c>
      <c r="M22" s="20">
        <v>0.16666666666666666</v>
      </c>
      <c r="N22" s="20">
        <v>0.16666666666666666</v>
      </c>
      <c r="O22" s="20">
        <v>0.16666666666666666</v>
      </c>
      <c r="Q22" s="14" t="s">
        <v>135</v>
      </c>
    </row>
    <row r="23" spans="1:17" x14ac:dyDescent="0.2">
      <c r="A23" s="21" t="s">
        <v>138</v>
      </c>
      <c r="B23" s="20">
        <v>0</v>
      </c>
      <c r="C23" s="20">
        <v>0</v>
      </c>
      <c r="D23" s="20">
        <v>0.18181818181818182</v>
      </c>
      <c r="E23" s="20">
        <v>0.18181818181818182</v>
      </c>
      <c r="F23" s="20">
        <v>0.5</v>
      </c>
      <c r="G23" s="20">
        <v>0.5</v>
      </c>
      <c r="I23" s="27" t="s">
        <v>138</v>
      </c>
      <c r="J23" s="20">
        <v>0</v>
      </c>
      <c r="K23" s="20">
        <v>0</v>
      </c>
      <c r="L23" s="20">
        <v>0</v>
      </c>
      <c r="M23" s="20">
        <v>0.5</v>
      </c>
      <c r="N23" s="20">
        <v>0.5</v>
      </c>
      <c r="O23" s="20">
        <v>0.5</v>
      </c>
      <c r="Q23" s="14" t="s">
        <v>137</v>
      </c>
    </row>
    <row r="24" spans="1:17" x14ac:dyDescent="0.2">
      <c r="A24" s="21" t="s">
        <v>139</v>
      </c>
      <c r="B24" s="20">
        <v>0</v>
      </c>
      <c r="C24" s="20">
        <v>0</v>
      </c>
      <c r="D24" s="20">
        <v>0</v>
      </c>
      <c r="E24" s="20">
        <v>0</v>
      </c>
      <c r="F24" s="20">
        <v>0</v>
      </c>
      <c r="G24" s="20">
        <v>0</v>
      </c>
      <c r="I24" s="27" t="s">
        <v>139</v>
      </c>
      <c r="J24" s="20">
        <v>0</v>
      </c>
      <c r="K24" s="20">
        <v>0</v>
      </c>
      <c r="L24" s="20">
        <v>0</v>
      </c>
      <c r="M24" s="20">
        <v>0</v>
      </c>
      <c r="N24" s="20">
        <v>0</v>
      </c>
      <c r="O24" s="20">
        <v>0</v>
      </c>
      <c r="Q24" s="14" t="s">
        <v>152</v>
      </c>
    </row>
    <row r="25" spans="1:17" x14ac:dyDescent="0.2">
      <c r="A25" s="21" t="s">
        <v>140</v>
      </c>
      <c r="B25" s="20">
        <v>0</v>
      </c>
      <c r="C25" s="20">
        <v>0</v>
      </c>
      <c r="D25" s="20">
        <v>4.5454545454545456E-2</v>
      </c>
      <c r="E25" s="20">
        <v>4.5454545454545456E-2</v>
      </c>
      <c r="F25" s="20">
        <v>0.16666666666666666</v>
      </c>
      <c r="G25" s="20">
        <v>0.16666666666666666</v>
      </c>
      <c r="I25" s="27" t="s">
        <v>140</v>
      </c>
      <c r="J25" s="20">
        <v>0</v>
      </c>
      <c r="K25" s="20">
        <v>0</v>
      </c>
      <c r="L25" s="20">
        <v>0.2</v>
      </c>
      <c r="M25" s="20">
        <v>0.16666666666666666</v>
      </c>
      <c r="N25" s="20">
        <v>0.16666666666666666</v>
      </c>
      <c r="O25" s="20">
        <v>0.16666666666666666</v>
      </c>
    </row>
    <row r="26" spans="1:17" x14ac:dyDescent="0.2">
      <c r="A26" s="19" t="s">
        <v>141</v>
      </c>
      <c r="B26" s="20">
        <v>0.16666666666666666</v>
      </c>
      <c r="C26" s="20">
        <v>0.16666666666666666</v>
      </c>
      <c r="D26" s="20">
        <v>0.36363636363636365</v>
      </c>
      <c r="E26" s="20">
        <v>0.36363636363636365</v>
      </c>
      <c r="F26" s="20">
        <v>0.66666666666666663</v>
      </c>
      <c r="G26" s="20">
        <v>0.66666666666666663</v>
      </c>
      <c r="I26" s="26" t="s">
        <v>141</v>
      </c>
      <c r="J26" s="20">
        <v>0.16666666666666666</v>
      </c>
      <c r="K26" s="20">
        <v>0.16666666666666666</v>
      </c>
      <c r="L26" s="20">
        <v>0</v>
      </c>
      <c r="M26" s="20">
        <v>0.66666666666666663</v>
      </c>
      <c r="N26" s="20">
        <v>0.66666666666666663</v>
      </c>
      <c r="O26" s="20">
        <v>0.66666666666666663</v>
      </c>
    </row>
    <row r="27" spans="1:17" x14ac:dyDescent="0.2">
      <c r="A27" s="19" t="s">
        <v>142</v>
      </c>
      <c r="B27" s="20">
        <v>0.75</v>
      </c>
      <c r="C27" s="20">
        <v>0.75</v>
      </c>
      <c r="D27" s="20">
        <v>0.86363636363636365</v>
      </c>
      <c r="E27" s="20">
        <v>0.86363636363636365</v>
      </c>
      <c r="F27" s="20">
        <v>0.66666666666666663</v>
      </c>
      <c r="G27" s="20">
        <v>0.66666666666666663</v>
      </c>
      <c r="I27" s="26" t="s">
        <v>142</v>
      </c>
      <c r="J27" s="20">
        <v>0.75</v>
      </c>
      <c r="K27" s="20">
        <v>0.75</v>
      </c>
      <c r="L27" s="20">
        <v>0.4</v>
      </c>
      <c r="M27" s="20">
        <v>0.66666666666666663</v>
      </c>
      <c r="N27" s="20">
        <v>0.66666666666666663</v>
      </c>
      <c r="O27" s="20">
        <v>0.66666666666666663</v>
      </c>
    </row>
    <row r="28" spans="1:17" x14ac:dyDescent="0.2">
      <c r="A28" s="19" t="s">
        <v>143</v>
      </c>
      <c r="B28" s="20">
        <v>0.25</v>
      </c>
      <c r="C28" s="20">
        <v>0.25</v>
      </c>
      <c r="D28" s="20">
        <v>0.45454545454545453</v>
      </c>
      <c r="E28" s="20">
        <v>0.45454545454545453</v>
      </c>
      <c r="F28" s="20">
        <v>1</v>
      </c>
      <c r="G28" s="20">
        <v>1</v>
      </c>
      <c r="I28" s="26" t="s">
        <v>143</v>
      </c>
      <c r="J28" s="20">
        <v>0.25</v>
      </c>
      <c r="K28" s="20">
        <v>0.25</v>
      </c>
      <c r="L28" s="20">
        <v>1.2</v>
      </c>
      <c r="M28" s="20">
        <v>1</v>
      </c>
      <c r="N28" s="20">
        <v>1</v>
      </c>
      <c r="O28" s="20">
        <v>1</v>
      </c>
    </row>
    <row r="29" spans="1:17" x14ac:dyDescent="0.2">
      <c r="A29" s="19" t="s">
        <v>144</v>
      </c>
      <c r="B29" s="20">
        <v>8.3333333333333329E-2</v>
      </c>
      <c r="C29" s="20">
        <v>8.3333333333333329E-2</v>
      </c>
      <c r="D29" s="20">
        <v>9.0909090909090912E-2</v>
      </c>
      <c r="E29" s="20">
        <v>9.0909090909090912E-2</v>
      </c>
      <c r="F29" s="20">
        <v>0.16666666666666666</v>
      </c>
      <c r="G29" s="20">
        <v>0.16666666666666666</v>
      </c>
      <c r="I29" s="26" t="s">
        <v>144</v>
      </c>
      <c r="J29" s="20">
        <v>8.3333333333333329E-2</v>
      </c>
      <c r="K29" s="20">
        <v>8.3333333333333329E-2</v>
      </c>
      <c r="L29" s="20">
        <v>0</v>
      </c>
      <c r="M29" s="20">
        <v>0.16666666666666666</v>
      </c>
      <c r="N29" s="20">
        <v>0.16666666666666666</v>
      </c>
      <c r="O29" s="20">
        <v>0.16666666666666666</v>
      </c>
    </row>
    <row r="30" spans="1:17" x14ac:dyDescent="0.2">
      <c r="A30" s="22" t="s">
        <v>145</v>
      </c>
      <c r="B30" s="20">
        <v>0</v>
      </c>
      <c r="C30" s="20">
        <v>0</v>
      </c>
      <c r="D30" s="20">
        <v>0</v>
      </c>
      <c r="E30" s="20">
        <v>0</v>
      </c>
      <c r="F30" s="20">
        <v>0</v>
      </c>
      <c r="G30" s="20">
        <v>0</v>
      </c>
      <c r="I30" s="28" t="s">
        <v>145</v>
      </c>
      <c r="J30" s="20">
        <v>0</v>
      </c>
      <c r="K30" s="20">
        <v>0</v>
      </c>
      <c r="L30" s="20">
        <v>0</v>
      </c>
      <c r="M30" s="20">
        <v>0</v>
      </c>
      <c r="N30" s="20">
        <v>0</v>
      </c>
      <c r="O30" s="20">
        <v>0</v>
      </c>
    </row>
    <row r="31" spans="1:17" x14ac:dyDescent="0.2">
      <c r="A31" s="17" t="s">
        <v>26</v>
      </c>
      <c r="B31" s="23">
        <v>1.3333333333333333</v>
      </c>
      <c r="C31" s="23">
        <v>1.3333333333333333</v>
      </c>
      <c r="D31" s="23">
        <v>2.3181818181818179</v>
      </c>
      <c r="E31" s="23">
        <v>2.3181818181818179</v>
      </c>
      <c r="F31" s="23">
        <v>3.5</v>
      </c>
      <c r="G31" s="23">
        <v>3.5</v>
      </c>
      <c r="I31" s="29" t="s">
        <v>26</v>
      </c>
      <c r="J31" s="23">
        <v>1.3333333333333333</v>
      </c>
      <c r="K31" s="23">
        <v>1.3333333333333333</v>
      </c>
      <c r="L31" s="30">
        <v>2.4</v>
      </c>
      <c r="M31" s="30">
        <v>3.5</v>
      </c>
      <c r="N31" s="30">
        <v>3.5</v>
      </c>
      <c r="O31" s="30">
        <v>3.5</v>
      </c>
    </row>
    <row r="33" spans="1:25" x14ac:dyDescent="0.2">
      <c r="A33" s="15" t="s">
        <v>153</v>
      </c>
      <c r="B33" s="16"/>
      <c r="C33" s="16"/>
      <c r="D33" s="16"/>
      <c r="E33" s="16"/>
      <c r="F33" s="16"/>
      <c r="G33" s="16"/>
      <c r="H33" s="16"/>
      <c r="I33" s="25" t="s">
        <v>154</v>
      </c>
      <c r="J33" s="16"/>
      <c r="K33" s="16"/>
      <c r="L33" s="16"/>
      <c r="M33" s="16"/>
      <c r="N33" s="16"/>
      <c r="O33" s="16"/>
      <c r="Q33" s="15" t="s">
        <v>155</v>
      </c>
    </row>
    <row r="34" spans="1:25" x14ac:dyDescent="0.2">
      <c r="A34" s="440" t="s">
        <v>131</v>
      </c>
      <c r="B34" s="442" t="s">
        <v>105</v>
      </c>
      <c r="C34" s="443"/>
      <c r="D34" s="443"/>
      <c r="E34" s="443"/>
      <c r="F34" s="443"/>
      <c r="G34" s="444"/>
      <c r="I34" s="440" t="s">
        <v>131</v>
      </c>
      <c r="J34" s="443" t="s">
        <v>105</v>
      </c>
      <c r="K34" s="443"/>
      <c r="L34" s="443"/>
      <c r="M34" s="443"/>
      <c r="N34" s="443"/>
      <c r="O34" s="444"/>
      <c r="Q34" s="14" t="s">
        <v>149</v>
      </c>
    </row>
    <row r="35" spans="1:25" x14ac:dyDescent="0.2">
      <c r="A35" s="441"/>
      <c r="B35" s="17">
        <v>0</v>
      </c>
      <c r="C35" s="17">
        <v>1</v>
      </c>
      <c r="D35" s="17">
        <v>2</v>
      </c>
      <c r="E35" s="17">
        <v>3</v>
      </c>
      <c r="F35" s="17">
        <v>4</v>
      </c>
      <c r="G35" s="18" t="s">
        <v>106</v>
      </c>
      <c r="I35" s="441"/>
      <c r="J35" s="17">
        <v>0</v>
      </c>
      <c r="K35" s="17">
        <v>1</v>
      </c>
      <c r="L35" s="17">
        <v>2</v>
      </c>
      <c r="M35" s="17">
        <v>3</v>
      </c>
      <c r="N35" s="17">
        <v>4</v>
      </c>
      <c r="O35" s="18" t="s">
        <v>106</v>
      </c>
      <c r="Q35" s="14" t="s">
        <v>150</v>
      </c>
    </row>
    <row r="36" spans="1:25" x14ac:dyDescent="0.2">
      <c r="A36" s="19" t="s">
        <v>134</v>
      </c>
      <c r="B36" s="20">
        <v>0.08</v>
      </c>
      <c r="C36" s="20">
        <v>0.08</v>
      </c>
      <c r="D36" s="20">
        <v>0.19047619047619047</v>
      </c>
      <c r="E36" s="20">
        <v>0.19047619047619047</v>
      </c>
      <c r="F36" s="20">
        <v>8.8235294117647065E-2</v>
      </c>
      <c r="G36" s="20">
        <v>8.8235294117647065E-2</v>
      </c>
      <c r="I36" s="19" t="s">
        <v>134</v>
      </c>
      <c r="J36" s="20">
        <v>0.08</v>
      </c>
      <c r="K36" s="20">
        <v>0.08</v>
      </c>
      <c r="L36" s="20">
        <v>0.19047619047619047</v>
      </c>
      <c r="M36" s="20">
        <v>8.8235294117647065E-2</v>
      </c>
      <c r="N36" s="20">
        <v>8.8235294117647065E-2</v>
      </c>
      <c r="O36" s="20">
        <v>8.8235294117647065E-2</v>
      </c>
      <c r="Q36" s="14" t="s">
        <v>151</v>
      </c>
    </row>
    <row r="37" spans="1:25" x14ac:dyDescent="0.2">
      <c r="A37" s="21" t="s">
        <v>136</v>
      </c>
      <c r="B37" s="20">
        <v>0</v>
      </c>
      <c r="C37" s="20">
        <v>0</v>
      </c>
      <c r="D37" s="20">
        <v>0.19047619047619047</v>
      </c>
      <c r="E37" s="20">
        <v>0.19047619047619047</v>
      </c>
      <c r="F37" s="20">
        <v>8.8235294117647065E-2</v>
      </c>
      <c r="G37" s="20">
        <v>8.8235294117647065E-2</v>
      </c>
      <c r="I37" s="21" t="s">
        <v>136</v>
      </c>
      <c r="J37" s="20">
        <v>0</v>
      </c>
      <c r="K37" s="20">
        <v>0</v>
      </c>
      <c r="L37" s="20">
        <v>0.19047619047619047</v>
      </c>
      <c r="M37" s="20">
        <v>8.8235294117647065E-2</v>
      </c>
      <c r="N37" s="20">
        <v>8.8235294117647065E-2</v>
      </c>
      <c r="O37" s="20">
        <v>8.8235294117647065E-2</v>
      </c>
      <c r="Q37" s="14" t="s">
        <v>135</v>
      </c>
    </row>
    <row r="38" spans="1:25" x14ac:dyDescent="0.2">
      <c r="A38" s="21" t="s">
        <v>138</v>
      </c>
      <c r="B38" s="20">
        <v>0</v>
      </c>
      <c r="C38" s="20">
        <v>0</v>
      </c>
      <c r="D38" s="20">
        <v>0.19047619047619047</v>
      </c>
      <c r="E38" s="20">
        <v>0.19047619047619047</v>
      </c>
      <c r="F38" s="20">
        <v>0.38235294117647056</v>
      </c>
      <c r="G38" s="20">
        <v>0.38235294117647056</v>
      </c>
      <c r="I38" s="21" t="s">
        <v>138</v>
      </c>
      <c r="J38" s="20">
        <v>0</v>
      </c>
      <c r="K38" s="20">
        <v>0</v>
      </c>
      <c r="L38" s="20">
        <v>0.19047619047619047</v>
      </c>
      <c r="M38" s="20">
        <v>0.38235294117647056</v>
      </c>
      <c r="N38" s="20">
        <v>0.38235294117647056</v>
      </c>
      <c r="O38" s="20">
        <v>0.38235294117647056</v>
      </c>
      <c r="Q38" s="14" t="s">
        <v>137</v>
      </c>
    </row>
    <row r="39" spans="1:25" x14ac:dyDescent="0.2">
      <c r="A39" s="21" t="s">
        <v>139</v>
      </c>
      <c r="B39" s="20">
        <v>0</v>
      </c>
      <c r="C39" s="20">
        <v>0</v>
      </c>
      <c r="D39" s="20">
        <v>0.23809523809523808</v>
      </c>
      <c r="E39" s="20">
        <v>0.23809523809523808</v>
      </c>
      <c r="F39" s="20">
        <v>0.76470588235294112</v>
      </c>
      <c r="G39" s="20">
        <v>0.76470588235294112</v>
      </c>
      <c r="I39" s="21" t="s">
        <v>139</v>
      </c>
      <c r="J39" s="20">
        <v>0</v>
      </c>
      <c r="K39" s="20">
        <v>0</v>
      </c>
      <c r="L39" s="20">
        <v>0.23809523809523808</v>
      </c>
      <c r="M39" s="20">
        <v>0.76470588235294112</v>
      </c>
      <c r="N39" s="20">
        <v>0.76470588235294112</v>
      </c>
      <c r="O39" s="20">
        <v>0.76470588235294112</v>
      </c>
      <c r="Q39" s="14" t="s">
        <v>156</v>
      </c>
    </row>
    <row r="40" spans="1:25" x14ac:dyDescent="0.2">
      <c r="A40" s="21" t="s">
        <v>140</v>
      </c>
      <c r="B40" s="20">
        <v>0.04</v>
      </c>
      <c r="C40" s="20">
        <v>0.04</v>
      </c>
      <c r="D40" s="20">
        <v>0</v>
      </c>
      <c r="E40" s="20">
        <v>0</v>
      </c>
      <c r="F40" s="20">
        <v>0.29411764705882354</v>
      </c>
      <c r="G40" s="20">
        <v>0.29411764705882354</v>
      </c>
      <c r="I40" s="21" t="s">
        <v>140</v>
      </c>
      <c r="J40" s="20">
        <v>0.04</v>
      </c>
      <c r="K40" s="20">
        <v>0.04</v>
      </c>
      <c r="L40" s="20">
        <v>0</v>
      </c>
      <c r="M40" s="20">
        <v>0.29411764705882354</v>
      </c>
      <c r="N40" s="20">
        <v>0.29411764705882354</v>
      </c>
      <c r="O40" s="20">
        <v>0.29411764705882354</v>
      </c>
      <c r="Q40" s="14" t="s">
        <v>152</v>
      </c>
    </row>
    <row r="41" spans="1:25" x14ac:dyDescent="0.2">
      <c r="A41" s="19" t="s">
        <v>141</v>
      </c>
      <c r="B41" s="20">
        <v>0.12</v>
      </c>
      <c r="C41" s="20">
        <v>0.12</v>
      </c>
      <c r="D41" s="20">
        <v>0.52380952380952384</v>
      </c>
      <c r="E41" s="20">
        <v>0.52380952380952384</v>
      </c>
      <c r="F41" s="20">
        <v>0.52941176470588236</v>
      </c>
      <c r="G41" s="20">
        <v>0.52941176470588236</v>
      </c>
      <c r="I41" s="19" t="s">
        <v>141</v>
      </c>
      <c r="J41" s="20">
        <v>0.12</v>
      </c>
      <c r="K41" s="20">
        <v>0.12</v>
      </c>
      <c r="L41" s="20">
        <v>0.52380952380952384</v>
      </c>
      <c r="M41" s="20">
        <v>0.52941176470588236</v>
      </c>
      <c r="N41" s="20">
        <v>0.52941176470588236</v>
      </c>
      <c r="O41" s="20">
        <v>0.52941176470588236</v>
      </c>
    </row>
    <row r="42" spans="1:25" x14ac:dyDescent="0.2">
      <c r="A42" s="19" t="s">
        <v>142</v>
      </c>
      <c r="B42" s="20">
        <v>0.12</v>
      </c>
      <c r="C42" s="20">
        <v>0.12</v>
      </c>
      <c r="D42" s="20">
        <v>0.38095238095238093</v>
      </c>
      <c r="E42" s="20">
        <v>0.38095238095238093</v>
      </c>
      <c r="F42" s="20">
        <v>0.44117647058823528</v>
      </c>
      <c r="G42" s="20">
        <v>0.44117647058823528</v>
      </c>
      <c r="I42" s="19" t="s">
        <v>142</v>
      </c>
      <c r="J42" s="20">
        <v>0.12</v>
      </c>
      <c r="K42" s="20">
        <v>0.12</v>
      </c>
      <c r="L42" s="20">
        <v>0.38095238095238093</v>
      </c>
      <c r="M42" s="20">
        <v>0.44117647058823528</v>
      </c>
      <c r="N42" s="20">
        <v>0.44117647058823528</v>
      </c>
      <c r="O42" s="20">
        <v>0.44117647058823528</v>
      </c>
    </row>
    <row r="43" spans="1:25" x14ac:dyDescent="0.2">
      <c r="A43" s="19" t="s">
        <v>143</v>
      </c>
      <c r="B43" s="20">
        <v>0.72</v>
      </c>
      <c r="C43" s="20">
        <v>0.72</v>
      </c>
      <c r="D43" s="20">
        <v>0.2857142857142857</v>
      </c>
      <c r="E43" s="20">
        <v>0.2857142857142857</v>
      </c>
      <c r="F43" s="20">
        <v>0.94117647058823528</v>
      </c>
      <c r="G43" s="20">
        <v>0.94117647058823528</v>
      </c>
      <c r="I43" s="19" t="s">
        <v>143</v>
      </c>
      <c r="J43" s="20">
        <v>0.72</v>
      </c>
      <c r="K43" s="20">
        <v>0.72</v>
      </c>
      <c r="L43" s="20">
        <v>0.2857142857142857</v>
      </c>
      <c r="M43" s="20">
        <v>0.94117647058823528</v>
      </c>
      <c r="N43" s="20">
        <v>0.94117647058823528</v>
      </c>
      <c r="O43" s="20">
        <v>0.94117647058823528</v>
      </c>
    </row>
    <row r="44" spans="1:25" x14ac:dyDescent="0.2">
      <c r="A44" s="19" t="s">
        <v>144</v>
      </c>
      <c r="B44" s="20">
        <v>0.16</v>
      </c>
      <c r="C44" s="20">
        <v>0.16</v>
      </c>
      <c r="D44" s="20">
        <v>0.14285714285714285</v>
      </c>
      <c r="E44" s="20">
        <v>0.14285714285714285</v>
      </c>
      <c r="F44" s="20">
        <v>0.17647058823529413</v>
      </c>
      <c r="G44" s="20">
        <v>0.17647058823529413</v>
      </c>
      <c r="I44" s="19" t="s">
        <v>144</v>
      </c>
      <c r="J44" s="20">
        <v>0.16</v>
      </c>
      <c r="K44" s="20">
        <v>0.16</v>
      </c>
      <c r="L44" s="20">
        <v>0.14285714285714285</v>
      </c>
      <c r="M44" s="20">
        <v>0.17647058823529413</v>
      </c>
      <c r="N44" s="20">
        <v>0.17647058823529413</v>
      </c>
      <c r="O44" s="20">
        <v>0.17647058823529413</v>
      </c>
    </row>
    <row r="45" spans="1:25" x14ac:dyDescent="0.2">
      <c r="A45" s="22" t="s">
        <v>145</v>
      </c>
      <c r="B45" s="20">
        <v>0.12</v>
      </c>
      <c r="C45" s="20">
        <v>0.12</v>
      </c>
      <c r="D45" s="20">
        <v>0</v>
      </c>
      <c r="E45" s="20">
        <v>0</v>
      </c>
      <c r="F45" s="20">
        <v>0</v>
      </c>
      <c r="G45" s="20">
        <v>0</v>
      </c>
      <c r="I45" s="22" t="s">
        <v>145</v>
      </c>
      <c r="J45" s="20">
        <v>0.12</v>
      </c>
      <c r="K45" s="20">
        <v>0.12</v>
      </c>
      <c r="L45" s="20">
        <v>0</v>
      </c>
      <c r="M45" s="20">
        <v>0</v>
      </c>
      <c r="N45" s="20">
        <v>0</v>
      </c>
      <c r="O45" s="20">
        <v>0</v>
      </c>
    </row>
    <row r="46" spans="1:25" x14ac:dyDescent="0.2">
      <c r="A46" s="17" t="s">
        <v>26</v>
      </c>
      <c r="B46" s="23">
        <v>1.36</v>
      </c>
      <c r="C46" s="23">
        <v>1.36</v>
      </c>
      <c r="D46" s="23">
        <v>2.1428571428571428</v>
      </c>
      <c r="E46" s="23">
        <v>2.1428571428571428</v>
      </c>
      <c r="F46" s="23">
        <v>3.7058823529411762</v>
      </c>
      <c r="G46" s="23">
        <v>3.7058823529411762</v>
      </c>
      <c r="I46" s="17" t="s">
        <v>26</v>
      </c>
      <c r="J46" s="23">
        <v>1.36</v>
      </c>
      <c r="K46" s="23">
        <v>1.36</v>
      </c>
      <c r="L46" s="23">
        <v>2.1428571428571428</v>
      </c>
      <c r="M46" s="23">
        <v>3.7058823529411762</v>
      </c>
      <c r="N46" s="23">
        <v>3.7058823529411762</v>
      </c>
      <c r="O46" s="23">
        <v>3.7058823529411762</v>
      </c>
    </row>
    <row r="48" spans="1:25" x14ac:dyDescent="0.2">
      <c r="A48" s="432" t="s">
        <v>157</v>
      </c>
      <c r="B48" s="432"/>
      <c r="C48" s="432"/>
      <c r="D48" s="432"/>
      <c r="E48" s="432"/>
      <c r="F48" s="432"/>
      <c r="G48" s="432"/>
      <c r="H48" s="432"/>
      <c r="I48" s="432"/>
      <c r="J48" s="432"/>
      <c r="K48" s="432"/>
      <c r="L48" s="432"/>
      <c r="M48" s="432"/>
      <c r="N48" s="432"/>
      <c r="O48" s="432"/>
      <c r="P48" s="432"/>
      <c r="Q48" s="432"/>
      <c r="R48" s="432"/>
      <c r="S48" s="432"/>
      <c r="T48" s="432"/>
      <c r="U48" s="432"/>
      <c r="V48" s="432"/>
      <c r="W48" s="432"/>
      <c r="X48" s="432"/>
      <c r="Y48" s="432"/>
    </row>
    <row r="49" spans="1:25" x14ac:dyDescent="0.2">
      <c r="A49" s="438" t="s">
        <v>158</v>
      </c>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8"/>
    </row>
    <row r="50" spans="1:25" x14ac:dyDescent="0.2">
      <c r="A50" s="439" t="s">
        <v>159</v>
      </c>
      <c r="B50" s="439"/>
      <c r="C50" s="439"/>
      <c r="D50" s="439"/>
      <c r="E50" s="439"/>
      <c r="F50" s="439"/>
      <c r="G50" s="439"/>
      <c r="H50" s="439"/>
      <c r="I50" s="439"/>
      <c r="J50" s="439"/>
      <c r="K50" s="439"/>
      <c r="L50" s="439"/>
      <c r="M50" s="439"/>
      <c r="N50" s="439"/>
      <c r="O50" s="439"/>
      <c r="P50" s="439"/>
      <c r="Q50" s="439"/>
      <c r="R50" s="439"/>
      <c r="S50" s="439"/>
      <c r="T50" s="439"/>
      <c r="U50" s="439"/>
      <c r="V50" s="439"/>
      <c r="W50" s="439"/>
      <c r="X50" s="439"/>
      <c r="Y50" s="439"/>
    </row>
    <row r="51" spans="1:25" x14ac:dyDescent="0.2">
      <c r="A51" s="432" t="s">
        <v>160</v>
      </c>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2"/>
    </row>
    <row r="52" spans="1:25" x14ac:dyDescent="0.2">
      <c r="A52" s="432" t="s">
        <v>161</v>
      </c>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row>
  </sheetData>
  <mergeCells count="17">
    <mergeCell ref="B19:G19"/>
    <mergeCell ref="I19:I20"/>
    <mergeCell ref="A51:Y51"/>
    <mergeCell ref="A52:Y52"/>
    <mergeCell ref="A50:Y50"/>
    <mergeCell ref="A4:A5"/>
    <mergeCell ref="B4:G4"/>
    <mergeCell ref="I4:I5"/>
    <mergeCell ref="J4:O4"/>
    <mergeCell ref="A49:Y49"/>
    <mergeCell ref="A34:A35"/>
    <mergeCell ref="B34:G34"/>
    <mergeCell ref="I34:I35"/>
    <mergeCell ref="J34:O34"/>
    <mergeCell ref="A48:Y48"/>
    <mergeCell ref="J19:O19"/>
    <mergeCell ref="A19:A20"/>
  </mergeCells>
  <pageMargins left="0.75" right="0.75" top="1" bottom="1" header="0.5" footer="0.5"/>
  <pageSetup paperSize="8" orientation="landscape" r:id="rId1"/>
  <headerFooter alignWithMargins="0">
    <oddHeader>&amp;L&amp;"Calibri"&amp;10&amp;K000000Official&amp;1#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6"/>
  <sheetViews>
    <sheetView workbookViewId="0"/>
  </sheetViews>
  <sheetFormatPr defaultRowHeight="13.2" x14ac:dyDescent="0.25"/>
  <cols>
    <col min="1" max="1" width="22.33203125" customWidth="1"/>
    <col min="2" max="2" width="59.5546875" customWidth="1"/>
  </cols>
  <sheetData>
    <row r="1" spans="1:2" x14ac:dyDescent="0.25">
      <c r="A1" s="2" t="s">
        <v>284</v>
      </c>
      <c r="B1" s="2" t="s">
        <v>285</v>
      </c>
    </row>
    <row r="2" spans="1:2" x14ac:dyDescent="0.25">
      <c r="A2" t="s">
        <v>282</v>
      </c>
      <c r="B2" t="s">
        <v>282</v>
      </c>
    </row>
    <row r="3" spans="1:2" x14ac:dyDescent="0.25">
      <c r="A3" t="s">
        <v>286</v>
      </c>
      <c r="B3" t="str">
        <f>""</f>
        <v/>
      </c>
    </row>
    <row r="4" spans="1:2" x14ac:dyDescent="0.25">
      <c r="A4" t="s">
        <v>287</v>
      </c>
      <c r="B4" t="s">
        <v>288</v>
      </c>
    </row>
    <row r="5" spans="1:2" x14ac:dyDescent="0.25">
      <c r="A5" t="s">
        <v>290</v>
      </c>
      <c r="B5" t="s">
        <v>97</v>
      </c>
    </row>
    <row r="6" spans="1:2" x14ac:dyDescent="0.25">
      <c r="A6" t="s">
        <v>324</v>
      </c>
      <c r="B6" t="s">
        <v>288</v>
      </c>
    </row>
  </sheetData>
  <pageMargins left="0.7" right="0.7" top="0.75" bottom="0.75" header="0.3" footer="0.3"/>
  <pageSetup paperSize="9" orientation="portrait" r:id="rId1"/>
  <headerFooter>
    <oddHeader>&amp;L&amp;"Calibri"&amp;10&amp;K000000Official&amp;1#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B2:P47"/>
  <sheetViews>
    <sheetView workbookViewId="0">
      <selection activeCell="D5" sqref="D5"/>
    </sheetView>
  </sheetViews>
  <sheetFormatPr defaultRowHeight="13.2" x14ac:dyDescent="0.25"/>
  <cols>
    <col min="1" max="2" width="2.6640625" customWidth="1"/>
    <col min="3" max="3" width="26.88671875" customWidth="1"/>
    <col min="4" max="4" width="82.33203125" customWidth="1"/>
    <col min="5" max="5" width="2.6640625" customWidth="1"/>
  </cols>
  <sheetData>
    <row r="2" spans="2:16" x14ac:dyDescent="0.25">
      <c r="B2" s="90"/>
      <c r="C2" s="91"/>
      <c r="D2" s="91"/>
      <c r="E2" s="92"/>
    </row>
    <row r="3" spans="2:16" ht="19.2" thickBot="1" x14ac:dyDescent="0.35">
      <c r="B3" s="95"/>
      <c r="C3" s="96" t="s">
        <v>9</v>
      </c>
      <c r="D3" s="96"/>
      <c r="E3" s="97"/>
    </row>
    <row r="4" spans="2:16" ht="13.8" thickTop="1" x14ac:dyDescent="0.25">
      <c r="B4" s="93"/>
      <c r="E4" s="94"/>
    </row>
    <row r="5" spans="2:16" x14ac:dyDescent="0.25">
      <c r="B5" s="93"/>
      <c r="C5" t="s">
        <v>215</v>
      </c>
      <c r="D5" s="114"/>
      <c r="E5" s="94"/>
      <c r="F5" s="230"/>
      <c r="G5" s="230"/>
    </row>
    <row r="6" spans="2:16" x14ac:dyDescent="0.25">
      <c r="B6" s="93"/>
      <c r="E6" s="94"/>
      <c r="F6" s="230"/>
      <c r="G6" s="230"/>
    </row>
    <row r="7" spans="2:16" ht="25.5" customHeight="1" x14ac:dyDescent="0.25">
      <c r="B7" s="93"/>
      <c r="C7" s="9" t="s">
        <v>216</v>
      </c>
      <c r="D7" s="115"/>
      <c r="E7" s="94"/>
      <c r="F7" s="230"/>
      <c r="G7" s="230"/>
    </row>
    <row r="8" spans="2:16" x14ac:dyDescent="0.25">
      <c r="B8" s="93"/>
      <c r="E8" s="94"/>
      <c r="F8" s="230"/>
      <c r="G8" s="230"/>
    </row>
    <row r="9" spans="2:16" ht="262.5" customHeight="1" x14ac:dyDescent="0.25">
      <c r="B9" s="93"/>
      <c r="C9" s="9" t="s">
        <v>217</v>
      </c>
      <c r="D9" s="115"/>
      <c r="E9" s="94"/>
      <c r="F9" s="230"/>
      <c r="G9" s="230"/>
      <c r="M9" s="8"/>
      <c r="N9" s="8"/>
      <c r="O9" s="8"/>
      <c r="P9" s="8"/>
    </row>
    <row r="10" spans="2:16" x14ac:dyDescent="0.25">
      <c r="B10" s="93"/>
      <c r="E10" s="94"/>
      <c r="F10" s="230"/>
      <c r="G10" s="230"/>
      <c r="M10" s="8"/>
      <c r="N10" s="8"/>
      <c r="O10" s="8"/>
      <c r="P10" s="8"/>
    </row>
    <row r="11" spans="2:16" x14ac:dyDescent="0.25">
      <c r="B11" s="93"/>
      <c r="C11" t="s">
        <v>218</v>
      </c>
      <c r="D11" s="116"/>
      <c r="E11" s="94"/>
      <c r="F11" s="230"/>
      <c r="G11" s="230"/>
    </row>
    <row r="12" spans="2:16" x14ac:dyDescent="0.25">
      <c r="B12" s="93"/>
      <c r="E12" s="94"/>
      <c r="F12" s="230"/>
      <c r="G12" s="230"/>
    </row>
    <row r="13" spans="2:16" x14ac:dyDescent="0.25">
      <c r="B13" s="93"/>
      <c r="C13" t="s">
        <v>219</v>
      </c>
      <c r="D13" s="116"/>
      <c r="E13" s="94"/>
      <c r="F13" s="230"/>
      <c r="G13" s="230"/>
    </row>
    <row r="14" spans="2:16" x14ac:dyDescent="0.25">
      <c r="B14" s="101"/>
      <c r="C14" s="102"/>
      <c r="D14" s="102"/>
      <c r="E14" s="103"/>
    </row>
    <row r="47" spans="3:3" x14ac:dyDescent="0.25">
      <c r="C47" s="194"/>
    </row>
  </sheetData>
  <sheetProtection algorithmName="SHA-512" hashValue="ltsLZTlK5dcjfO7993BR1uR9+JEKmqs54xLCtTEyadcaTa/HOUBCmj19iY/0pqFEDyErd9ufwPTt/ozWJbjL1w==" saltValue="UwxbCDV9e35Y78Tt6hl9Jg==" spinCount="100000" sheet="1" selectLockedCells="1"/>
  <mergeCells count="1">
    <mergeCell ref="F5:G13"/>
  </mergeCell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2:U111"/>
  <sheetViews>
    <sheetView topLeftCell="A44" workbookViewId="0">
      <selection activeCell="E51" sqref="E51:F51"/>
    </sheetView>
  </sheetViews>
  <sheetFormatPr defaultRowHeight="13.2" x14ac:dyDescent="0.25"/>
  <cols>
    <col min="1" max="2" width="2.6640625" customWidth="1"/>
    <col min="3" max="4" width="9.109375" customWidth="1"/>
    <col min="7" max="13" width="9.109375" customWidth="1"/>
    <col min="16" max="16" width="2.6640625" customWidth="1"/>
  </cols>
  <sheetData>
    <row r="2" spans="2:19" x14ac:dyDescent="0.25">
      <c r="B2" s="90"/>
      <c r="C2" s="91"/>
      <c r="D2" s="91"/>
      <c r="E2" s="91"/>
      <c r="F2" s="91"/>
      <c r="G2" s="91"/>
      <c r="H2" s="91"/>
      <c r="I2" s="91"/>
      <c r="J2" s="91"/>
      <c r="K2" s="91"/>
      <c r="L2" s="91"/>
      <c r="M2" s="91"/>
      <c r="N2" s="91"/>
      <c r="O2" s="91"/>
      <c r="P2" s="92"/>
    </row>
    <row r="3" spans="2:19" ht="19.2" thickBot="1" x14ac:dyDescent="0.35">
      <c r="B3" s="95"/>
      <c r="C3" s="96" t="s">
        <v>104</v>
      </c>
      <c r="D3" s="96"/>
      <c r="E3" s="96"/>
      <c r="F3" s="96"/>
      <c r="G3" s="96"/>
      <c r="H3" s="96"/>
      <c r="I3" s="96"/>
      <c r="J3" s="96"/>
      <c r="K3" s="96"/>
      <c r="L3" s="96"/>
      <c r="M3" s="96"/>
      <c r="N3" s="96"/>
      <c r="O3" s="96"/>
      <c r="P3" s="97"/>
    </row>
    <row r="4" spans="2:19" ht="13.8" thickTop="1" x14ac:dyDescent="0.25">
      <c r="B4" s="93"/>
      <c r="P4" s="94"/>
    </row>
    <row r="5" spans="2:19" ht="16.8" x14ac:dyDescent="0.3">
      <c r="B5" s="93"/>
      <c r="C5" s="3" t="s">
        <v>401</v>
      </c>
      <c r="P5" s="94"/>
    </row>
    <row r="6" spans="2:19" x14ac:dyDescent="0.25">
      <c r="B6" s="93"/>
      <c r="P6" s="94"/>
    </row>
    <row r="7" spans="2:19" x14ac:dyDescent="0.25">
      <c r="B7" s="93"/>
      <c r="C7" t="s">
        <v>402</v>
      </c>
      <c r="D7" s="198">
        <v>1E-3</v>
      </c>
      <c r="E7" t="s">
        <v>403</v>
      </c>
      <c r="P7" s="94"/>
    </row>
    <row r="8" spans="2:19" x14ac:dyDescent="0.25">
      <c r="B8" s="93"/>
      <c r="P8" s="94"/>
    </row>
    <row r="9" spans="2:19" ht="16.8" x14ac:dyDescent="0.3">
      <c r="B9" s="93"/>
      <c r="C9" s="3" t="s">
        <v>110</v>
      </c>
      <c r="D9" s="3"/>
      <c r="E9" s="3"/>
      <c r="F9" s="3"/>
      <c r="G9" s="3"/>
      <c r="H9" s="3"/>
      <c r="I9" s="3"/>
      <c r="J9" s="3"/>
      <c r="K9" s="3"/>
      <c r="L9" s="3"/>
      <c r="M9" s="3"/>
      <c r="N9" s="3"/>
      <c r="O9" s="3"/>
      <c r="P9" s="117"/>
      <c r="Q9" s="3"/>
      <c r="R9" s="3"/>
      <c r="S9" s="3"/>
    </row>
    <row r="10" spans="2:19" x14ac:dyDescent="0.25">
      <c r="B10" s="93"/>
      <c r="I10" s="118"/>
      <c r="P10" s="94"/>
    </row>
    <row r="11" spans="2:19" ht="12.75" customHeight="1" x14ac:dyDescent="0.25">
      <c r="B11" s="93"/>
      <c r="C11" s="249" t="s">
        <v>108</v>
      </c>
      <c r="D11" s="249"/>
      <c r="E11" s="249"/>
      <c r="F11" s="250">
        <v>0</v>
      </c>
      <c r="H11" s="251" t="s">
        <v>114</v>
      </c>
      <c r="I11" s="251"/>
      <c r="J11" s="251"/>
      <c r="K11" s="251"/>
      <c r="L11" s="251"/>
      <c r="M11" s="251"/>
      <c r="N11" s="251"/>
      <c r="O11" s="163"/>
      <c r="P11" s="94"/>
    </row>
    <row r="12" spans="2:19" x14ac:dyDescent="0.25">
      <c r="B12" s="93"/>
      <c r="C12" s="249"/>
      <c r="D12" s="249"/>
      <c r="E12" s="249"/>
      <c r="F12" s="250"/>
      <c r="G12" s="163"/>
      <c r="H12" s="251"/>
      <c r="I12" s="251"/>
      <c r="J12" s="251"/>
      <c r="K12" s="251"/>
      <c r="L12" s="251"/>
      <c r="M12" s="251"/>
      <c r="N12" s="251"/>
      <c r="O12" s="163"/>
      <c r="P12" s="94"/>
    </row>
    <row r="13" spans="2:19" x14ac:dyDescent="0.25">
      <c r="B13" s="93"/>
      <c r="P13" s="94"/>
    </row>
    <row r="14" spans="2:19" x14ac:dyDescent="0.25">
      <c r="B14" s="93"/>
      <c r="C14" t="s">
        <v>384</v>
      </c>
      <c r="H14" s="146"/>
      <c r="P14" s="94"/>
    </row>
    <row r="15" spans="2:19" x14ac:dyDescent="0.25">
      <c r="B15" s="93"/>
      <c r="P15" s="94"/>
    </row>
    <row r="16" spans="2:19" x14ac:dyDescent="0.25">
      <c r="B16" s="93"/>
      <c r="C16" t="s">
        <v>109</v>
      </c>
      <c r="E16" s="252"/>
      <c r="F16" s="252"/>
      <c r="I16" s="118"/>
      <c r="P16" s="94"/>
    </row>
    <row r="17" spans="2:19" x14ac:dyDescent="0.25">
      <c r="B17" s="93"/>
      <c r="J17" s="118"/>
      <c r="P17" s="94"/>
    </row>
    <row r="18" spans="2:19" x14ac:dyDescent="0.25">
      <c r="B18" s="93"/>
      <c r="C18" t="s">
        <v>325</v>
      </c>
      <c r="H18" s="146"/>
      <c r="J18" s="118"/>
      <c r="P18" s="94"/>
    </row>
    <row r="19" spans="2:19" x14ac:dyDescent="0.25">
      <c r="B19" s="93"/>
      <c r="J19" s="118"/>
      <c r="P19" s="94"/>
    </row>
    <row r="20" spans="2:19" x14ac:dyDescent="0.25">
      <c r="B20" s="93"/>
      <c r="C20" t="s">
        <v>380</v>
      </c>
      <c r="E20" s="187">
        <v>0.1</v>
      </c>
      <c r="F20" t="s">
        <v>381</v>
      </c>
      <c r="J20" s="118"/>
      <c r="P20" s="94"/>
    </row>
    <row r="21" spans="2:19" x14ac:dyDescent="0.25">
      <c r="B21" s="93"/>
      <c r="J21" s="118"/>
      <c r="P21" s="94"/>
    </row>
    <row r="22" spans="2:19" ht="16.8" x14ac:dyDescent="0.3">
      <c r="B22" s="90"/>
      <c r="C22" s="127" t="s">
        <v>203</v>
      </c>
      <c r="D22" s="127"/>
      <c r="E22" s="127"/>
      <c r="F22" s="127"/>
      <c r="G22" s="127"/>
      <c r="H22" s="127"/>
      <c r="I22" s="127"/>
      <c r="J22" s="127"/>
      <c r="K22" s="127"/>
      <c r="L22" s="127"/>
      <c r="M22" s="127"/>
      <c r="N22" s="127"/>
      <c r="O22" s="127"/>
      <c r="P22" s="128"/>
      <c r="Q22" s="3"/>
      <c r="R22" s="3"/>
      <c r="S22" s="3"/>
    </row>
    <row r="23" spans="2:19" ht="12.75" customHeight="1" x14ac:dyDescent="0.3">
      <c r="B23" s="93"/>
      <c r="O23" s="3"/>
      <c r="P23" s="117"/>
      <c r="Q23" s="3"/>
      <c r="R23" s="3"/>
      <c r="S23" s="3"/>
    </row>
    <row r="24" spans="2:19" ht="12.75" customHeight="1" x14ac:dyDescent="0.25">
      <c r="B24" s="93"/>
      <c r="C24" t="s">
        <v>280</v>
      </c>
      <c r="J24" s="118"/>
      <c r="P24" s="94"/>
    </row>
    <row r="25" spans="2:19" ht="12.75" customHeight="1" thickBot="1" x14ac:dyDescent="0.3">
      <c r="B25" s="93"/>
      <c r="J25" s="118"/>
      <c r="P25" s="94"/>
    </row>
    <row r="26" spans="2:19" ht="12.75" customHeight="1" x14ac:dyDescent="0.25">
      <c r="B26" s="93"/>
      <c r="C26" s="265" t="s">
        <v>27</v>
      </c>
      <c r="D26" s="256" t="s">
        <v>32</v>
      </c>
      <c r="E26" s="256"/>
      <c r="F26" s="256"/>
      <c r="G26" s="261" t="s">
        <v>251</v>
      </c>
      <c r="H26" s="261"/>
      <c r="I26" s="261"/>
      <c r="J26" s="261"/>
      <c r="K26" s="261"/>
      <c r="L26" s="261"/>
      <c r="M26" s="261"/>
      <c r="O26" s="260" t="s">
        <v>113</v>
      </c>
      <c r="P26" s="94"/>
    </row>
    <row r="27" spans="2:19" ht="13.8" thickBot="1" x14ac:dyDescent="0.3">
      <c r="B27" s="93"/>
      <c r="C27" s="266"/>
      <c r="D27" s="258"/>
      <c r="E27" s="258"/>
      <c r="F27" s="258"/>
      <c r="G27" s="129" t="s">
        <v>34</v>
      </c>
      <c r="H27" s="130" t="s">
        <v>252</v>
      </c>
      <c r="I27" s="130" t="s">
        <v>253</v>
      </c>
      <c r="J27" s="130" t="s">
        <v>254</v>
      </c>
      <c r="K27" s="130" t="s">
        <v>255</v>
      </c>
      <c r="L27" s="130" t="s">
        <v>256</v>
      </c>
      <c r="M27" s="130" t="s">
        <v>26</v>
      </c>
      <c r="O27" s="260"/>
      <c r="P27" s="94"/>
    </row>
    <row r="28" spans="2:19" x14ac:dyDescent="0.25">
      <c r="B28" s="93"/>
      <c r="C28" s="253" t="s">
        <v>28</v>
      </c>
      <c r="D28" s="259" t="s">
        <v>29</v>
      </c>
      <c r="E28" s="259"/>
      <c r="F28" s="259"/>
      <c r="G28" s="84">
        <v>0</v>
      </c>
      <c r="H28" s="84">
        <v>0</v>
      </c>
      <c r="I28" s="84">
        <v>0</v>
      </c>
      <c r="J28" s="84">
        <v>0</v>
      </c>
      <c r="K28" s="84">
        <v>0</v>
      </c>
      <c r="L28" s="84">
        <v>0</v>
      </c>
      <c r="M28" s="131">
        <f>SUM(G28:L28)</f>
        <v>0</v>
      </c>
      <c r="O28" s="260"/>
      <c r="P28" s="94"/>
    </row>
    <row r="29" spans="2:19" x14ac:dyDescent="0.25">
      <c r="B29" s="93"/>
      <c r="C29" s="254"/>
      <c r="D29" s="262" t="s">
        <v>30</v>
      </c>
      <c r="E29" s="262"/>
      <c r="F29" s="262"/>
      <c r="G29" s="83">
        <v>0</v>
      </c>
      <c r="H29" s="83">
        <v>0</v>
      </c>
      <c r="I29" s="83">
        <v>0</v>
      </c>
      <c r="J29" s="83">
        <v>0</v>
      </c>
      <c r="K29" s="83">
        <v>0</v>
      </c>
      <c r="L29" s="83">
        <v>0</v>
      </c>
      <c r="M29" s="132">
        <f t="shared" ref="M29:M36" si="0">SUM(G29:L29)</f>
        <v>0</v>
      </c>
      <c r="O29" s="260"/>
      <c r="P29" s="94"/>
    </row>
    <row r="30" spans="2:19" ht="13.8" thickBot="1" x14ac:dyDescent="0.3">
      <c r="B30" s="93"/>
      <c r="C30" s="254"/>
      <c r="D30" s="263" t="s">
        <v>281</v>
      </c>
      <c r="E30" s="263"/>
      <c r="F30" s="263"/>
      <c r="G30" s="87">
        <v>0</v>
      </c>
      <c r="H30" s="87">
        <v>0</v>
      </c>
      <c r="I30" s="87">
        <v>0</v>
      </c>
      <c r="J30" s="87">
        <v>0</v>
      </c>
      <c r="K30" s="87">
        <v>0</v>
      </c>
      <c r="L30" s="87">
        <v>0</v>
      </c>
      <c r="M30" s="133">
        <f t="shared" si="0"/>
        <v>0</v>
      </c>
      <c r="O30" s="260"/>
      <c r="P30" s="94"/>
    </row>
    <row r="31" spans="2:19" ht="13.8" thickBot="1" x14ac:dyDescent="0.3">
      <c r="B31" s="93"/>
      <c r="C31" s="255"/>
      <c r="D31" s="264" t="s">
        <v>26</v>
      </c>
      <c r="E31" s="264"/>
      <c r="F31" s="264"/>
      <c r="G31" s="134">
        <f>SUM(G28:G30)</f>
        <v>0</v>
      </c>
      <c r="H31" s="134">
        <f>SUM(H28:H30)</f>
        <v>0</v>
      </c>
      <c r="I31" s="134">
        <f>SUM(I28:I30)</f>
        <v>0</v>
      </c>
      <c r="J31" s="134">
        <f t="shared" ref="J31:L31" si="1">SUM(J28:J30)</f>
        <v>0</v>
      </c>
      <c r="K31" s="134">
        <f t="shared" si="1"/>
        <v>0</v>
      </c>
      <c r="L31" s="134">
        <f t="shared" si="1"/>
        <v>0</v>
      </c>
      <c r="M31" s="135">
        <f t="shared" si="0"/>
        <v>0</v>
      </c>
      <c r="O31" s="260"/>
      <c r="P31" s="94"/>
    </row>
    <row r="32" spans="2:19" x14ac:dyDescent="0.25">
      <c r="B32" s="93"/>
      <c r="C32" s="256" t="s">
        <v>33</v>
      </c>
      <c r="D32" s="259" t="s">
        <v>29</v>
      </c>
      <c r="E32" s="259"/>
      <c r="F32" s="259"/>
      <c r="G32" s="89">
        <v>0</v>
      </c>
      <c r="H32" s="89">
        <v>0</v>
      </c>
      <c r="I32" s="89">
        <v>0</v>
      </c>
      <c r="J32" s="89">
        <v>0</v>
      </c>
      <c r="K32" s="89">
        <v>0</v>
      </c>
      <c r="L32" s="89">
        <v>0</v>
      </c>
      <c r="M32" s="136">
        <f t="shared" si="0"/>
        <v>0</v>
      </c>
      <c r="O32" s="260"/>
      <c r="P32" s="94"/>
    </row>
    <row r="33" spans="2:19" x14ac:dyDescent="0.25">
      <c r="B33" s="93"/>
      <c r="C33" s="257"/>
      <c r="D33" s="262" t="s">
        <v>30</v>
      </c>
      <c r="E33" s="262"/>
      <c r="F33" s="262"/>
      <c r="G33" s="83">
        <v>0</v>
      </c>
      <c r="H33" s="83">
        <v>0</v>
      </c>
      <c r="I33" s="83">
        <v>0</v>
      </c>
      <c r="J33" s="83">
        <v>0</v>
      </c>
      <c r="K33" s="83">
        <v>0</v>
      </c>
      <c r="L33" s="83">
        <v>0</v>
      </c>
      <c r="M33" s="132">
        <f t="shared" si="0"/>
        <v>0</v>
      </c>
      <c r="O33" s="260"/>
      <c r="P33" s="94"/>
    </row>
    <row r="34" spans="2:19" ht="13.8" thickBot="1" x14ac:dyDescent="0.3">
      <c r="B34" s="93"/>
      <c r="C34" s="257"/>
      <c r="D34" s="263" t="s">
        <v>281</v>
      </c>
      <c r="E34" s="263"/>
      <c r="F34" s="263"/>
      <c r="G34" s="87">
        <v>0</v>
      </c>
      <c r="H34" s="87">
        <v>0</v>
      </c>
      <c r="I34" s="87">
        <v>0</v>
      </c>
      <c r="J34" s="87">
        <v>0</v>
      </c>
      <c r="K34" s="87">
        <v>0</v>
      </c>
      <c r="L34" s="87">
        <v>0</v>
      </c>
      <c r="M34" s="133">
        <f t="shared" si="0"/>
        <v>0</v>
      </c>
      <c r="O34" s="260"/>
      <c r="P34" s="94"/>
    </row>
    <row r="35" spans="2:19" ht="13.8" thickBot="1" x14ac:dyDescent="0.3">
      <c r="B35" s="93"/>
      <c r="C35" s="258"/>
      <c r="D35" s="264" t="s">
        <v>26</v>
      </c>
      <c r="E35" s="264"/>
      <c r="F35" s="264"/>
      <c r="G35" s="134">
        <f>SUM(G32:G34)</f>
        <v>0</v>
      </c>
      <c r="H35" s="134">
        <f t="shared" ref="H35" si="2">SUM(H32:H34)</f>
        <v>0</v>
      </c>
      <c r="I35" s="134">
        <f t="shared" ref="I35" si="3">SUM(I32:I34)</f>
        <v>0</v>
      </c>
      <c r="J35" s="134">
        <f t="shared" ref="J35" si="4">SUM(J32:J34)</f>
        <v>0</v>
      </c>
      <c r="K35" s="134">
        <f t="shared" ref="K35" si="5">SUM(K32:K34)</f>
        <v>0</v>
      </c>
      <c r="L35" s="134">
        <f t="shared" ref="L35" si="6">SUM(L32:L34)</f>
        <v>0</v>
      </c>
      <c r="M35" s="135">
        <f t="shared" si="0"/>
        <v>0</v>
      </c>
      <c r="O35" s="260"/>
      <c r="P35" s="94"/>
    </row>
    <row r="36" spans="2:19" ht="13.8" thickBot="1" x14ac:dyDescent="0.3">
      <c r="B36" s="93"/>
      <c r="C36" s="264" t="s">
        <v>26</v>
      </c>
      <c r="D36" s="264"/>
      <c r="E36" s="264"/>
      <c r="F36" s="264"/>
      <c r="G36" s="137">
        <f>SUM(G31,G35)</f>
        <v>0</v>
      </c>
      <c r="H36" s="137">
        <f t="shared" ref="H36:L36" si="7">SUM(H31,H35)</f>
        <v>0</v>
      </c>
      <c r="I36" s="137">
        <f t="shared" si="7"/>
        <v>0</v>
      </c>
      <c r="J36" s="137">
        <f t="shared" si="7"/>
        <v>0</v>
      </c>
      <c r="K36" s="137">
        <f t="shared" si="7"/>
        <v>0</v>
      </c>
      <c r="L36" s="137">
        <f t="shared" si="7"/>
        <v>0</v>
      </c>
      <c r="M36" s="137">
        <f t="shared" si="0"/>
        <v>0</v>
      </c>
      <c r="O36" s="260"/>
      <c r="P36" s="94"/>
    </row>
    <row r="37" spans="2:19" x14ac:dyDescent="0.25">
      <c r="B37" s="93"/>
      <c r="P37" s="94"/>
    </row>
    <row r="38" spans="2:19" x14ac:dyDescent="0.25">
      <c r="B38" s="93"/>
      <c r="C38" s="119" t="s">
        <v>279</v>
      </c>
      <c r="P38" s="94"/>
    </row>
    <row r="39" spans="2:19" x14ac:dyDescent="0.25">
      <c r="B39" s="93"/>
      <c r="P39" s="94"/>
    </row>
    <row r="40" spans="2:19" x14ac:dyDescent="0.25">
      <c r="B40" s="93"/>
      <c r="C40" s="217" t="s">
        <v>271</v>
      </c>
      <c r="D40" s="217"/>
      <c r="E40" s="217"/>
      <c r="F40" s="217"/>
      <c r="G40" s="217"/>
      <c r="H40" s="217"/>
      <c r="I40" s="217"/>
      <c r="J40" s="217"/>
      <c r="K40" s="248"/>
      <c r="P40" s="94"/>
    </row>
    <row r="41" spans="2:19" x14ac:dyDescent="0.25">
      <c r="B41" s="93"/>
      <c r="C41" s="217"/>
      <c r="D41" s="217"/>
      <c r="E41" s="217"/>
      <c r="F41" s="217"/>
      <c r="G41" s="217"/>
      <c r="H41" s="217"/>
      <c r="I41" s="217"/>
      <c r="J41" s="217"/>
      <c r="K41" s="248"/>
      <c r="P41" s="94"/>
    </row>
    <row r="42" spans="2:19" x14ac:dyDescent="0.25">
      <c r="B42" s="93"/>
      <c r="P42" s="94"/>
    </row>
    <row r="43" spans="2:19" ht="12.75" customHeight="1" x14ac:dyDescent="0.25">
      <c r="B43" s="93"/>
      <c r="C43" s="235" t="s">
        <v>221</v>
      </c>
      <c r="D43" s="235"/>
      <c r="E43" s="235"/>
      <c r="F43" s="235"/>
      <c r="G43" s="235"/>
      <c r="H43" s="235"/>
      <c r="I43" s="235"/>
      <c r="J43" s="235"/>
      <c r="K43" s="120"/>
      <c r="P43" s="94"/>
    </row>
    <row r="44" spans="2:19" x14ac:dyDescent="0.25">
      <c r="B44" s="93"/>
      <c r="P44" s="94"/>
    </row>
    <row r="45" spans="2:19" ht="16.8" x14ac:dyDescent="0.3">
      <c r="B45" s="90"/>
      <c r="C45" s="127" t="s">
        <v>12</v>
      </c>
      <c r="D45" s="127"/>
      <c r="E45" s="127"/>
      <c r="F45" s="127"/>
      <c r="G45" s="127"/>
      <c r="H45" s="127"/>
      <c r="I45" s="127"/>
      <c r="J45" s="127"/>
      <c r="K45" s="127"/>
      <c r="L45" s="127"/>
      <c r="M45" s="127"/>
      <c r="N45" s="127"/>
      <c r="O45" s="127"/>
      <c r="P45" s="128"/>
      <c r="Q45" s="3"/>
      <c r="R45" s="3"/>
      <c r="S45" s="3"/>
    </row>
    <row r="46" spans="2:19" x14ac:dyDescent="0.25">
      <c r="B46" s="93"/>
      <c r="P46" s="94"/>
    </row>
    <row r="47" spans="2:19" x14ac:dyDescent="0.25">
      <c r="B47" s="93"/>
      <c r="C47" s="119" t="s">
        <v>211</v>
      </c>
      <c r="P47" s="94"/>
    </row>
    <row r="48" spans="2:19" ht="13.8" thickBot="1" x14ac:dyDescent="0.3">
      <c r="B48" s="93"/>
      <c r="P48" s="94"/>
    </row>
    <row r="49" spans="2:16" ht="13.8" thickBot="1" x14ac:dyDescent="0.3">
      <c r="B49" s="93"/>
      <c r="C49" s="238" t="s">
        <v>111</v>
      </c>
      <c r="D49" s="238"/>
      <c r="E49" s="239" t="s">
        <v>112</v>
      </c>
      <c r="F49" s="239"/>
      <c r="P49" s="94"/>
    </row>
    <row r="50" spans="2:16" ht="13.8" thickBot="1" x14ac:dyDescent="0.3">
      <c r="B50" s="93"/>
      <c r="C50" s="238"/>
      <c r="D50" s="238"/>
      <c r="E50" s="240"/>
      <c r="F50" s="240"/>
      <c r="P50" s="94"/>
    </row>
    <row r="51" spans="2:16" ht="12.75" customHeight="1" x14ac:dyDescent="0.25">
      <c r="B51" s="93"/>
      <c r="C51" s="237" t="s">
        <v>11</v>
      </c>
      <c r="D51" s="237"/>
      <c r="E51" s="236">
        <v>0</v>
      </c>
      <c r="F51" s="236"/>
      <c r="I51" s="121"/>
      <c r="P51" s="94"/>
    </row>
    <row r="52" spans="2:16" x14ac:dyDescent="0.25">
      <c r="B52" s="93"/>
      <c r="C52" s="232" t="s">
        <v>13</v>
      </c>
      <c r="D52" s="232"/>
      <c r="E52" s="231">
        <v>0</v>
      </c>
      <c r="F52" s="231"/>
      <c r="H52" s="121"/>
      <c r="I52" s="121"/>
      <c r="P52" s="94"/>
    </row>
    <row r="53" spans="2:16" x14ac:dyDescent="0.25">
      <c r="B53" s="93"/>
      <c r="C53" s="232" t="s">
        <v>14</v>
      </c>
      <c r="D53" s="232"/>
      <c r="E53" s="231">
        <v>0</v>
      </c>
      <c r="F53" s="231"/>
      <c r="H53" s="241" t="s">
        <v>275</v>
      </c>
      <c r="I53" s="241"/>
      <c r="P53" s="94"/>
    </row>
    <row r="54" spans="2:16" x14ac:dyDescent="0.25">
      <c r="B54" s="93"/>
      <c r="C54" s="232" t="s">
        <v>15</v>
      </c>
      <c r="D54" s="232"/>
      <c r="E54" s="231">
        <v>0</v>
      </c>
      <c r="F54" s="231"/>
      <c r="H54" s="241"/>
      <c r="I54" s="241"/>
      <c r="P54" s="94"/>
    </row>
    <row r="55" spans="2:16" x14ac:dyDescent="0.25">
      <c r="B55" s="93"/>
      <c r="C55" s="232" t="s">
        <v>16</v>
      </c>
      <c r="D55" s="232"/>
      <c r="E55" s="231">
        <v>0</v>
      </c>
      <c r="F55" s="231"/>
      <c r="H55" s="241"/>
      <c r="I55" s="241"/>
      <c r="P55" s="94"/>
    </row>
    <row r="56" spans="2:16" x14ac:dyDescent="0.25">
      <c r="B56" s="93"/>
      <c r="C56" s="162" t="s">
        <v>358</v>
      </c>
      <c r="D56" s="162"/>
      <c r="E56" s="231">
        <v>0</v>
      </c>
      <c r="F56" s="231"/>
      <c r="H56" s="241"/>
      <c r="I56" s="241"/>
      <c r="P56" s="94"/>
    </row>
    <row r="57" spans="2:16" x14ac:dyDescent="0.25">
      <c r="B57" s="93"/>
      <c r="C57" s="162" t="s">
        <v>359</v>
      </c>
      <c r="D57" s="162"/>
      <c r="E57" s="231">
        <v>0</v>
      </c>
      <c r="F57" s="231"/>
      <c r="H57" s="241"/>
      <c r="I57" s="241"/>
      <c r="P57" s="94"/>
    </row>
    <row r="58" spans="2:16" x14ac:dyDescent="0.25">
      <c r="B58" s="93"/>
      <c r="C58" s="162" t="s">
        <v>360</v>
      </c>
      <c r="D58" s="162"/>
      <c r="E58" s="231">
        <v>0</v>
      </c>
      <c r="F58" s="231"/>
      <c r="H58" s="241"/>
      <c r="I58" s="241"/>
      <c r="P58" s="94"/>
    </row>
    <row r="59" spans="2:16" x14ac:dyDescent="0.25">
      <c r="B59" s="93"/>
      <c r="C59" s="232" t="s">
        <v>361</v>
      </c>
      <c r="D59" s="232"/>
      <c r="E59" s="233">
        <f>SUM(E56:E58)</f>
        <v>0</v>
      </c>
      <c r="F59" s="233"/>
      <c r="H59" s="241"/>
      <c r="I59" s="241"/>
      <c r="P59" s="94"/>
    </row>
    <row r="60" spans="2:16" x14ac:dyDescent="0.25">
      <c r="B60" s="93"/>
      <c r="C60" s="232" t="s">
        <v>17</v>
      </c>
      <c r="D60" s="232"/>
      <c r="E60" s="231">
        <v>0</v>
      </c>
      <c r="F60" s="231"/>
      <c r="H60" s="241"/>
      <c r="I60" s="241"/>
      <c r="P60" s="94"/>
    </row>
    <row r="61" spans="2:16" x14ac:dyDescent="0.25">
      <c r="B61" s="93"/>
      <c r="C61" s="232" t="s">
        <v>18</v>
      </c>
      <c r="D61" s="232"/>
      <c r="E61" s="231">
        <v>0</v>
      </c>
      <c r="F61" s="231"/>
      <c r="H61" s="241"/>
      <c r="I61" s="241"/>
      <c r="P61" s="94"/>
    </row>
    <row r="62" spans="2:16" x14ac:dyDescent="0.25">
      <c r="B62" s="93"/>
      <c r="C62" s="232" t="s">
        <v>19</v>
      </c>
      <c r="D62" s="232"/>
      <c r="E62" s="231">
        <v>0</v>
      </c>
      <c r="F62" s="231"/>
      <c r="H62" s="241"/>
      <c r="I62" s="241"/>
      <c r="P62" s="94"/>
    </row>
    <row r="63" spans="2:16" x14ac:dyDescent="0.25">
      <c r="B63" s="93"/>
      <c r="C63" s="232" t="s">
        <v>20</v>
      </c>
      <c r="D63" s="232"/>
      <c r="E63" s="231">
        <v>0</v>
      </c>
      <c r="F63" s="231"/>
      <c r="H63" s="241"/>
      <c r="I63" s="241"/>
      <c r="P63" s="94"/>
    </row>
    <row r="64" spans="2:16" x14ac:dyDescent="0.25">
      <c r="B64" s="93"/>
      <c r="C64" s="232" t="s">
        <v>21</v>
      </c>
      <c r="D64" s="232"/>
      <c r="E64" s="231">
        <v>0</v>
      </c>
      <c r="F64" s="231"/>
      <c r="H64" s="241"/>
      <c r="I64" s="241"/>
      <c r="P64" s="94"/>
    </row>
    <row r="65" spans="2:16" x14ac:dyDescent="0.25">
      <c r="B65" s="93"/>
      <c r="C65" s="232" t="s">
        <v>22</v>
      </c>
      <c r="D65" s="232"/>
      <c r="E65" s="231">
        <v>0</v>
      </c>
      <c r="F65" s="231"/>
      <c r="H65" s="241"/>
      <c r="I65" s="241"/>
      <c r="P65" s="94"/>
    </row>
    <row r="66" spans="2:16" x14ac:dyDescent="0.25">
      <c r="B66" s="93"/>
      <c r="C66" s="232" t="s">
        <v>23</v>
      </c>
      <c r="D66" s="232"/>
      <c r="E66" s="231">
        <v>0</v>
      </c>
      <c r="F66" s="231"/>
      <c r="H66" s="241"/>
      <c r="I66" s="241"/>
      <c r="P66" s="94"/>
    </row>
    <row r="67" spans="2:16" x14ac:dyDescent="0.25">
      <c r="B67" s="93"/>
      <c r="C67" s="232" t="s">
        <v>24</v>
      </c>
      <c r="D67" s="232"/>
      <c r="E67" s="231">
        <v>0</v>
      </c>
      <c r="F67" s="231"/>
      <c r="H67" s="241"/>
      <c r="I67" s="241"/>
      <c r="P67" s="94"/>
    </row>
    <row r="68" spans="2:16" x14ac:dyDescent="0.25">
      <c r="B68" s="93"/>
      <c r="C68" s="232" t="s">
        <v>25</v>
      </c>
      <c r="D68" s="232"/>
      <c r="E68" s="231">
        <v>0</v>
      </c>
      <c r="F68" s="231"/>
      <c r="P68" s="94"/>
    </row>
    <row r="69" spans="2:16" x14ac:dyDescent="0.25">
      <c r="B69" s="93"/>
      <c r="C69" s="244" t="s">
        <v>115</v>
      </c>
      <c r="D69" s="244"/>
      <c r="E69" s="231">
        <v>0</v>
      </c>
      <c r="F69" s="231"/>
      <c r="H69" s="272" t="s">
        <v>250</v>
      </c>
      <c r="I69" s="272"/>
      <c r="J69" s="272"/>
      <c r="K69" s="272"/>
      <c r="L69" s="272"/>
      <c r="M69" s="272"/>
      <c r="P69" s="94"/>
    </row>
    <row r="70" spans="2:16" ht="13.5" customHeight="1" thickBot="1" x14ac:dyDescent="0.3">
      <c r="B70" s="93"/>
      <c r="C70" s="247" t="s">
        <v>116</v>
      </c>
      <c r="D70" s="247"/>
      <c r="E70" s="234">
        <v>0</v>
      </c>
      <c r="F70" s="234"/>
      <c r="H70" s="272"/>
      <c r="I70" s="272"/>
      <c r="J70" s="272"/>
      <c r="K70" s="272"/>
      <c r="L70" s="272"/>
      <c r="M70" s="272"/>
      <c r="N70" s="122"/>
      <c r="O70" s="122"/>
      <c r="P70" s="94"/>
    </row>
    <row r="71" spans="2:16" ht="13.8" thickBot="1" x14ac:dyDescent="0.3">
      <c r="B71" s="93"/>
      <c r="C71" s="238" t="s">
        <v>26</v>
      </c>
      <c r="D71" s="238"/>
      <c r="E71" s="243">
        <f>SUM(E51:F58,E60:F70)</f>
        <v>0</v>
      </c>
      <c r="F71" s="243"/>
      <c r="H71" s="272"/>
      <c r="I71" s="272"/>
      <c r="J71" s="272"/>
      <c r="K71" s="272"/>
      <c r="L71" s="272"/>
      <c r="M71" s="272"/>
      <c r="N71" s="122"/>
      <c r="O71" s="122"/>
      <c r="P71" s="94"/>
    </row>
    <row r="72" spans="2:16" x14ac:dyDescent="0.25">
      <c r="B72" s="93"/>
      <c r="P72" s="94"/>
    </row>
    <row r="73" spans="2:16" x14ac:dyDescent="0.25">
      <c r="B73" s="93"/>
      <c r="C73" s="119" t="s">
        <v>204</v>
      </c>
      <c r="P73" s="94"/>
    </row>
    <row r="74" spans="2:16" ht="13.8" thickBot="1" x14ac:dyDescent="0.3">
      <c r="B74" s="93"/>
      <c r="C74" s="119"/>
      <c r="P74" s="94"/>
    </row>
    <row r="75" spans="2:16" ht="12.75" customHeight="1" thickBot="1" x14ac:dyDescent="0.3">
      <c r="B75" s="93"/>
      <c r="C75" s="238" t="s">
        <v>111</v>
      </c>
      <c r="D75" s="238"/>
      <c r="E75" s="238"/>
      <c r="F75" s="238"/>
      <c r="G75" s="238"/>
      <c r="H75" s="239" t="s">
        <v>112</v>
      </c>
      <c r="I75" s="239"/>
      <c r="K75" s="241" t="s">
        <v>317</v>
      </c>
      <c r="L75" s="241"/>
      <c r="M75" s="241"/>
      <c r="N75" s="241"/>
      <c r="P75" s="94"/>
    </row>
    <row r="76" spans="2:16" ht="13.8" thickBot="1" x14ac:dyDescent="0.3">
      <c r="B76" s="93"/>
      <c r="C76" s="238"/>
      <c r="D76" s="238"/>
      <c r="E76" s="238"/>
      <c r="F76" s="238"/>
      <c r="G76" s="238"/>
      <c r="H76" s="240"/>
      <c r="I76" s="240"/>
      <c r="K76" s="241"/>
      <c r="L76" s="241"/>
      <c r="M76" s="241"/>
      <c r="N76" s="241"/>
      <c r="P76" s="94"/>
    </row>
    <row r="77" spans="2:16" x14ac:dyDescent="0.25">
      <c r="B77" s="93"/>
      <c r="C77" s="57" t="s">
        <v>273</v>
      </c>
      <c r="D77" s="57"/>
      <c r="E77" s="57"/>
      <c r="F77" s="57"/>
      <c r="G77" s="57"/>
      <c r="H77" s="274">
        <f>SUM(E51:F58,E67:F68,E60:F61)</f>
        <v>0</v>
      </c>
      <c r="I77" s="274"/>
      <c r="K77" s="241"/>
      <c r="L77" s="241"/>
      <c r="M77" s="241"/>
      <c r="N77" s="241"/>
      <c r="P77" s="94"/>
    </row>
    <row r="78" spans="2:16" ht="13.8" thickBot="1" x14ac:dyDescent="0.3">
      <c r="B78" s="93"/>
      <c r="C78" s="58" t="s">
        <v>314</v>
      </c>
      <c r="D78" s="58"/>
      <c r="E78" s="58"/>
      <c r="F78" s="58"/>
      <c r="G78" s="58"/>
      <c r="H78" s="242">
        <v>0</v>
      </c>
      <c r="I78" s="242"/>
      <c r="K78" s="241"/>
      <c r="L78" s="241"/>
      <c r="M78" s="241"/>
      <c r="N78" s="241"/>
      <c r="P78" s="94"/>
    </row>
    <row r="79" spans="2:16" ht="13.8" thickBot="1" x14ac:dyDescent="0.3">
      <c r="B79" s="93"/>
      <c r="C79" s="70" t="s">
        <v>26</v>
      </c>
      <c r="D79" s="59"/>
      <c r="E79" s="86"/>
      <c r="F79" s="59"/>
      <c r="G79" s="59"/>
      <c r="H79" s="245">
        <f>H78+H77</f>
        <v>0</v>
      </c>
      <c r="I79" s="245"/>
      <c r="K79" s="241"/>
      <c r="L79" s="241"/>
      <c r="M79" s="241"/>
      <c r="N79" s="241"/>
      <c r="P79" s="94"/>
    </row>
    <row r="80" spans="2:16" x14ac:dyDescent="0.25">
      <c r="B80" s="93"/>
      <c r="J80" s="121"/>
      <c r="K80" s="121"/>
      <c r="L80" s="121"/>
      <c r="M80" s="121"/>
      <c r="N80" s="121"/>
      <c r="P80" s="94"/>
    </row>
    <row r="81" spans="2:21" x14ac:dyDescent="0.25">
      <c r="B81" s="93"/>
      <c r="C81" s="119" t="s">
        <v>205</v>
      </c>
      <c r="I81" s="123"/>
      <c r="J81" s="121"/>
      <c r="K81" s="121"/>
      <c r="L81" s="121"/>
      <c r="M81" s="121"/>
      <c r="N81" s="121"/>
      <c r="P81" s="94"/>
    </row>
    <row r="82" spans="2:21" ht="13.8" thickBot="1" x14ac:dyDescent="0.3">
      <c r="B82" s="93"/>
      <c r="C82" s="119"/>
      <c r="I82" s="123"/>
      <c r="P82" s="94"/>
    </row>
    <row r="83" spans="2:21" ht="13.8" thickBot="1" x14ac:dyDescent="0.3">
      <c r="B83" s="93"/>
      <c r="C83" s="238" t="s">
        <v>111</v>
      </c>
      <c r="D83" s="238"/>
      <c r="E83" s="238"/>
      <c r="F83" s="238"/>
      <c r="G83" s="238"/>
      <c r="H83" s="239" t="s">
        <v>112</v>
      </c>
      <c r="I83" s="239"/>
      <c r="K83" s="260" t="s">
        <v>318</v>
      </c>
      <c r="L83" s="260"/>
      <c r="M83" s="260"/>
      <c r="N83" s="260"/>
      <c r="O83" s="260"/>
      <c r="P83" s="94"/>
    </row>
    <row r="84" spans="2:21" ht="13.8" thickBot="1" x14ac:dyDescent="0.3">
      <c r="B84" s="93"/>
      <c r="C84" s="238"/>
      <c r="D84" s="238"/>
      <c r="E84" s="238"/>
      <c r="F84" s="238"/>
      <c r="G84" s="238"/>
      <c r="H84" s="240"/>
      <c r="I84" s="240"/>
      <c r="K84" s="260"/>
      <c r="L84" s="260"/>
      <c r="M84" s="260"/>
      <c r="N84" s="260"/>
      <c r="O84" s="260"/>
      <c r="P84" s="94"/>
    </row>
    <row r="85" spans="2:21" x14ac:dyDescent="0.25">
      <c r="B85" s="93"/>
      <c r="C85" s="85" t="s">
        <v>206</v>
      </c>
      <c r="D85" s="85"/>
      <c r="E85" s="85"/>
      <c r="F85" s="85"/>
      <c r="G85" s="85"/>
      <c r="H85" s="246">
        <f>SUM(E59:F61)</f>
        <v>0</v>
      </c>
      <c r="I85" s="246"/>
      <c r="K85" s="260"/>
      <c r="L85" s="260"/>
      <c r="M85" s="260"/>
      <c r="N85" s="260"/>
      <c r="O85" s="260"/>
      <c r="P85" s="94"/>
    </row>
    <row r="86" spans="2:21" ht="12.75" customHeight="1" thickBot="1" x14ac:dyDescent="0.3">
      <c r="B86" s="93"/>
      <c r="C86" s="60" t="s">
        <v>315</v>
      </c>
      <c r="D86" s="60"/>
      <c r="E86" s="60"/>
      <c r="F86" s="58"/>
      <c r="G86" s="60"/>
      <c r="H86" s="242">
        <v>0</v>
      </c>
      <c r="I86" s="242"/>
      <c r="K86" s="260"/>
      <c r="L86" s="260"/>
      <c r="M86" s="260"/>
      <c r="N86" s="260"/>
      <c r="O86" s="260"/>
      <c r="P86" s="124"/>
      <c r="Q86" s="10"/>
      <c r="R86" s="10"/>
      <c r="S86" s="10"/>
      <c r="T86" s="10"/>
    </row>
    <row r="87" spans="2:21" ht="13.8" thickBot="1" x14ac:dyDescent="0.3">
      <c r="B87" s="93"/>
      <c r="C87" s="86" t="s">
        <v>26</v>
      </c>
      <c r="D87" s="86"/>
      <c r="E87" s="86"/>
      <c r="F87" s="86"/>
      <c r="G87" s="86"/>
      <c r="H87" s="243">
        <f>H85+H86</f>
        <v>0</v>
      </c>
      <c r="I87" s="243"/>
      <c r="K87" s="260"/>
      <c r="L87" s="260"/>
      <c r="M87" s="260"/>
      <c r="N87" s="260"/>
      <c r="O87" s="260"/>
      <c r="P87" s="94"/>
    </row>
    <row r="88" spans="2:21" ht="12.75" customHeight="1" x14ac:dyDescent="0.25">
      <c r="B88" s="93"/>
      <c r="D88" s="125"/>
      <c r="E88" s="125"/>
      <c r="F88" s="229"/>
      <c r="G88" s="273"/>
      <c r="O88" s="121"/>
      <c r="P88" s="124"/>
      <c r="Q88" s="10"/>
      <c r="R88" s="10"/>
      <c r="S88" s="10"/>
      <c r="T88" s="10"/>
      <c r="U88" s="10"/>
    </row>
    <row r="89" spans="2:21" x14ac:dyDescent="0.25">
      <c r="B89" s="93"/>
      <c r="C89" s="126" t="s">
        <v>274</v>
      </c>
      <c r="D89" s="125"/>
      <c r="E89" s="125"/>
      <c r="F89" s="229"/>
      <c r="G89" s="273"/>
      <c r="O89" s="121"/>
      <c r="P89" s="124"/>
      <c r="Q89" s="10"/>
      <c r="R89" s="10"/>
      <c r="S89" s="10"/>
      <c r="T89" s="10"/>
      <c r="U89" s="10"/>
    </row>
    <row r="90" spans="2:21" ht="13.8" thickBot="1" x14ac:dyDescent="0.3">
      <c r="B90" s="93"/>
      <c r="P90" s="94"/>
    </row>
    <row r="91" spans="2:21" ht="12.75" customHeight="1" thickBot="1" x14ac:dyDescent="0.3">
      <c r="B91" s="93"/>
      <c r="C91" s="238" t="s">
        <v>111</v>
      </c>
      <c r="D91" s="238"/>
      <c r="E91" s="238"/>
      <c r="F91" s="238"/>
      <c r="G91" s="238"/>
      <c r="H91" s="62"/>
      <c r="I91" s="239" t="s">
        <v>112</v>
      </c>
      <c r="J91" s="239"/>
      <c r="L91" s="241" t="s">
        <v>319</v>
      </c>
      <c r="M91" s="241"/>
      <c r="N91" s="241"/>
      <c r="O91" s="241"/>
      <c r="P91" s="94"/>
    </row>
    <row r="92" spans="2:21" ht="13.8" thickBot="1" x14ac:dyDescent="0.3">
      <c r="B92" s="93"/>
      <c r="C92" s="238"/>
      <c r="D92" s="238"/>
      <c r="E92" s="238"/>
      <c r="F92" s="238"/>
      <c r="G92" s="238"/>
      <c r="H92" s="61"/>
      <c r="I92" s="240"/>
      <c r="J92" s="240"/>
      <c r="L92" s="241"/>
      <c r="M92" s="241"/>
      <c r="N92" s="241"/>
      <c r="O92" s="241"/>
      <c r="P92" s="94"/>
    </row>
    <row r="93" spans="2:21" ht="12.75" customHeight="1" x14ac:dyDescent="0.25">
      <c r="B93" s="93"/>
      <c r="C93" s="85" t="s">
        <v>207</v>
      </c>
      <c r="D93" s="85"/>
      <c r="E93" s="85"/>
      <c r="F93" s="85"/>
      <c r="G93" s="85"/>
      <c r="H93" s="85"/>
      <c r="I93" s="246">
        <f>SUM(E51:F58,E67:F68,E60:F62)</f>
        <v>0</v>
      </c>
      <c r="J93" s="246"/>
      <c r="L93" s="241"/>
      <c r="M93" s="241"/>
      <c r="N93" s="241"/>
      <c r="O93" s="241"/>
      <c r="P93" s="124"/>
      <c r="Q93" s="10"/>
    </row>
    <row r="94" spans="2:21" ht="13.8" thickBot="1" x14ac:dyDescent="0.3">
      <c r="B94" s="93"/>
      <c r="C94" s="60" t="s">
        <v>316</v>
      </c>
      <c r="D94" s="58"/>
      <c r="E94" s="58"/>
      <c r="F94" s="58"/>
      <c r="G94" s="58"/>
      <c r="H94" s="58"/>
      <c r="I94" s="234">
        <v>0</v>
      </c>
      <c r="J94" s="234"/>
      <c r="L94" s="241"/>
      <c r="M94" s="241"/>
      <c r="N94" s="241"/>
      <c r="O94" s="241"/>
      <c r="P94" s="94"/>
    </row>
    <row r="95" spans="2:21" ht="13.8" thickBot="1" x14ac:dyDescent="0.3">
      <c r="B95" s="93"/>
      <c r="C95" s="70" t="s">
        <v>26</v>
      </c>
      <c r="D95" s="86"/>
      <c r="E95" s="86"/>
      <c r="F95" s="86"/>
      <c r="G95" s="86"/>
      <c r="H95" s="86"/>
      <c r="I95" s="243">
        <f>SUM(I93,I94)</f>
        <v>0</v>
      </c>
      <c r="J95" s="243"/>
      <c r="L95" s="241"/>
      <c r="M95" s="241"/>
      <c r="N95" s="241"/>
      <c r="O95" s="241"/>
      <c r="P95" s="94"/>
    </row>
    <row r="96" spans="2:21" x14ac:dyDescent="0.25">
      <c r="B96" s="93"/>
      <c r="P96" s="94"/>
    </row>
    <row r="97" spans="2:16" ht="16.8" x14ac:dyDescent="0.3">
      <c r="B97" s="90"/>
      <c r="C97" s="127" t="s">
        <v>429</v>
      </c>
      <c r="D97" s="91"/>
      <c r="E97" s="91"/>
      <c r="F97" s="91"/>
      <c r="G97" s="91"/>
      <c r="H97" s="91"/>
      <c r="I97" s="91"/>
      <c r="J97" s="91"/>
      <c r="K97" s="91"/>
      <c r="L97" s="91"/>
      <c r="M97" s="91"/>
      <c r="N97" s="91"/>
      <c r="O97" s="91"/>
      <c r="P97" s="92"/>
    </row>
    <row r="98" spans="2:16" x14ac:dyDescent="0.25">
      <c r="B98" s="93"/>
      <c r="P98" s="94"/>
    </row>
    <row r="99" spans="2:16" x14ac:dyDescent="0.25">
      <c r="B99" s="93"/>
      <c r="C99" t="s">
        <v>408</v>
      </c>
      <c r="G99" s="1"/>
      <c r="H99" s="267">
        <v>0</v>
      </c>
      <c r="I99" s="267"/>
      <c r="P99" s="94"/>
    </row>
    <row r="100" spans="2:16" x14ac:dyDescent="0.25">
      <c r="B100" s="93"/>
      <c r="P100" s="94"/>
    </row>
    <row r="101" spans="2:16" ht="16.8" x14ac:dyDescent="0.3">
      <c r="B101" s="90"/>
      <c r="C101" s="127" t="s">
        <v>310</v>
      </c>
      <c r="D101" s="91"/>
      <c r="E101" s="91"/>
      <c r="F101" s="91"/>
      <c r="G101" s="91"/>
      <c r="H101" s="91"/>
      <c r="I101" s="91"/>
      <c r="J101" s="91"/>
      <c r="K101" s="91"/>
      <c r="L101" s="91"/>
      <c r="M101" s="91"/>
      <c r="N101" s="91"/>
      <c r="O101" s="91"/>
      <c r="P101" s="92"/>
    </row>
    <row r="102" spans="2:16" ht="13.8" thickBot="1" x14ac:dyDescent="0.3">
      <c r="B102" s="93"/>
      <c r="P102" s="94"/>
    </row>
    <row r="103" spans="2:16" ht="13.5" customHeight="1" thickBot="1" x14ac:dyDescent="0.3">
      <c r="B103" s="93"/>
      <c r="C103" s="268" t="s">
        <v>303</v>
      </c>
      <c r="D103" s="268"/>
      <c r="E103" s="268"/>
      <c r="F103" s="71" t="s">
        <v>304</v>
      </c>
      <c r="H103" s="260" t="s">
        <v>305</v>
      </c>
      <c r="I103" s="260"/>
      <c r="J103" s="260"/>
      <c r="P103" s="94"/>
    </row>
    <row r="104" spans="2:16" x14ac:dyDescent="0.25">
      <c r="B104" s="93"/>
      <c r="C104" s="271" t="s">
        <v>301</v>
      </c>
      <c r="D104" s="271"/>
      <c r="E104" s="271"/>
      <c r="F104" s="75" t="s">
        <v>64</v>
      </c>
      <c r="H104" s="260"/>
      <c r="I104" s="260"/>
      <c r="J104" s="260"/>
      <c r="P104" s="94"/>
    </row>
    <row r="105" spans="2:16" x14ac:dyDescent="0.25">
      <c r="B105" s="93"/>
      <c r="C105" s="216"/>
      <c r="D105" s="216"/>
      <c r="E105" s="216"/>
      <c r="F105" s="74" t="s">
        <v>65</v>
      </c>
      <c r="H105" s="260"/>
      <c r="I105" s="260"/>
      <c r="J105" s="260"/>
      <c r="P105" s="94"/>
    </row>
    <row r="106" spans="2:16" x14ac:dyDescent="0.25">
      <c r="B106" s="93"/>
      <c r="C106" s="232" t="s">
        <v>2</v>
      </c>
      <c r="D106" s="232"/>
      <c r="E106" s="232"/>
      <c r="F106" s="72" t="s">
        <v>66</v>
      </c>
      <c r="H106" s="260"/>
      <c r="I106" s="260"/>
      <c r="J106" s="260"/>
      <c r="P106" s="94"/>
    </row>
    <row r="107" spans="2:16" x14ac:dyDescent="0.25">
      <c r="B107" s="93"/>
      <c r="C107" s="270" t="s">
        <v>5</v>
      </c>
      <c r="D107" s="270"/>
      <c r="E107" s="270"/>
      <c r="F107" s="73" t="s">
        <v>77</v>
      </c>
      <c r="H107" s="260"/>
      <c r="I107" s="260"/>
      <c r="J107" s="260"/>
      <c r="P107" s="94"/>
    </row>
    <row r="108" spans="2:16" x14ac:dyDescent="0.25">
      <c r="B108" s="93"/>
      <c r="C108" s="270"/>
      <c r="D108" s="270"/>
      <c r="E108" s="270"/>
      <c r="F108" s="74" t="s">
        <v>241</v>
      </c>
      <c r="H108" s="260"/>
      <c r="I108" s="260"/>
      <c r="J108" s="260"/>
      <c r="P108" s="94"/>
    </row>
    <row r="109" spans="2:16" x14ac:dyDescent="0.25">
      <c r="B109" s="93"/>
      <c r="C109" s="269" t="s">
        <v>302</v>
      </c>
      <c r="D109" s="269"/>
      <c r="E109" s="269"/>
      <c r="F109" s="76" t="s">
        <v>242</v>
      </c>
      <c r="H109" s="260"/>
      <c r="I109" s="260"/>
      <c r="J109" s="260"/>
      <c r="P109" s="94"/>
    </row>
    <row r="110" spans="2:16" ht="13.8" thickBot="1" x14ac:dyDescent="0.3">
      <c r="B110" s="93"/>
      <c r="C110" s="222" t="s">
        <v>35</v>
      </c>
      <c r="D110" s="222"/>
      <c r="E110" s="222"/>
      <c r="F110" s="77" t="s">
        <v>243</v>
      </c>
      <c r="H110" s="260"/>
      <c r="I110" s="260"/>
      <c r="J110" s="260"/>
      <c r="P110" s="94"/>
    </row>
    <row r="111" spans="2:16" x14ac:dyDescent="0.25">
      <c r="B111" s="101"/>
      <c r="C111" s="102"/>
      <c r="D111" s="102"/>
      <c r="E111" s="102"/>
      <c r="F111" s="102"/>
      <c r="G111" s="102"/>
      <c r="H111" s="102"/>
      <c r="I111" s="102"/>
      <c r="J111" s="102"/>
      <c r="K111" s="102"/>
      <c r="L111" s="102"/>
      <c r="M111" s="102"/>
      <c r="N111" s="102"/>
      <c r="O111" s="102"/>
      <c r="P111" s="103"/>
    </row>
  </sheetData>
  <sheetProtection algorithmName="SHA-512" hashValue="KcAX1vw0mVBc2rPjrsCeBJzAsnQIWuPGbh3v44TduAboKBliR08U5MmX8oytcgZkoAclFU+3C62SM9tllVczEA==" saltValue="L03bLln+L6eGAV7zVkX6yg==" spinCount="100000" sheet="1" selectLockedCells="1"/>
  <mergeCells count="93">
    <mergeCell ref="K75:N79"/>
    <mergeCell ref="H69:M71"/>
    <mergeCell ref="I93:J93"/>
    <mergeCell ref="C91:G92"/>
    <mergeCell ref="F88:F89"/>
    <mergeCell ref="G88:G89"/>
    <mergeCell ref="C83:G84"/>
    <mergeCell ref="C75:G76"/>
    <mergeCell ref="H75:I76"/>
    <mergeCell ref="H77:I77"/>
    <mergeCell ref="H78:I78"/>
    <mergeCell ref="K83:O87"/>
    <mergeCell ref="I91:J92"/>
    <mergeCell ref="L91:O95"/>
    <mergeCell ref="H83:I84"/>
    <mergeCell ref="I95:J95"/>
    <mergeCell ref="H99:I99"/>
    <mergeCell ref="C103:E103"/>
    <mergeCell ref="C106:E106"/>
    <mergeCell ref="C109:E109"/>
    <mergeCell ref="C110:E110"/>
    <mergeCell ref="C107:E108"/>
    <mergeCell ref="C104:E105"/>
    <mergeCell ref="H103:J110"/>
    <mergeCell ref="O26:O36"/>
    <mergeCell ref="G26:M26"/>
    <mergeCell ref="D26:F27"/>
    <mergeCell ref="D28:F28"/>
    <mergeCell ref="D29:F29"/>
    <mergeCell ref="D30:F30"/>
    <mergeCell ref="D31:F31"/>
    <mergeCell ref="D33:F33"/>
    <mergeCell ref="D34:F34"/>
    <mergeCell ref="D35:F35"/>
    <mergeCell ref="C36:F36"/>
    <mergeCell ref="C26:C27"/>
    <mergeCell ref="K40:K41"/>
    <mergeCell ref="C11:E12"/>
    <mergeCell ref="F11:F12"/>
    <mergeCell ref="H11:N12"/>
    <mergeCell ref="E16:F16"/>
    <mergeCell ref="C28:C31"/>
    <mergeCell ref="C32:C35"/>
    <mergeCell ref="D32:F32"/>
    <mergeCell ref="C40:J41"/>
    <mergeCell ref="H86:I86"/>
    <mergeCell ref="H87:I87"/>
    <mergeCell ref="C68:D68"/>
    <mergeCell ref="C69:D69"/>
    <mergeCell ref="H79:I79"/>
    <mergeCell ref="C71:D71"/>
    <mergeCell ref="E71:F71"/>
    <mergeCell ref="H85:I85"/>
    <mergeCell ref="E70:F70"/>
    <mergeCell ref="C70:D70"/>
    <mergeCell ref="E69:F69"/>
    <mergeCell ref="C67:D67"/>
    <mergeCell ref="I94:J94"/>
    <mergeCell ref="C43:J43"/>
    <mergeCell ref="E51:F51"/>
    <mergeCell ref="E52:F52"/>
    <mergeCell ref="E53:F53"/>
    <mergeCell ref="E54:F54"/>
    <mergeCell ref="C51:D51"/>
    <mergeCell ref="C52:D52"/>
    <mergeCell ref="C49:D50"/>
    <mergeCell ref="E49:F50"/>
    <mergeCell ref="H53:I67"/>
    <mergeCell ref="E61:F61"/>
    <mergeCell ref="C62:D62"/>
    <mergeCell ref="C63:D63"/>
    <mergeCell ref="C64:D64"/>
    <mergeCell ref="C65:D65"/>
    <mergeCell ref="C66:D66"/>
    <mergeCell ref="C59:D59"/>
    <mergeCell ref="C60:D60"/>
    <mergeCell ref="C55:D55"/>
    <mergeCell ref="C61:D61"/>
    <mergeCell ref="C53:D53"/>
    <mergeCell ref="E59:F59"/>
    <mergeCell ref="C54:D54"/>
    <mergeCell ref="E55:F55"/>
    <mergeCell ref="E60:F60"/>
    <mergeCell ref="E56:F56"/>
    <mergeCell ref="E57:F57"/>
    <mergeCell ref="E58:F58"/>
    <mergeCell ref="E67:F67"/>
    <mergeCell ref="E68:F68"/>
    <mergeCell ref="E62:F62"/>
    <mergeCell ref="E63:F63"/>
    <mergeCell ref="E64:F64"/>
    <mergeCell ref="E65:F65"/>
    <mergeCell ref="E66:F66"/>
  </mergeCells>
  <dataValidations count="9">
    <dataValidation type="whole" operator="greaterThanOrEqual" showInputMessage="1" showErrorMessage="1" error="Proposed rooms must be a whole number, 0 or greater" sqref="F11:F12" xr:uid="{00000000-0002-0000-0300-000000000000}">
      <formula1>0</formula1>
    </dataValidation>
    <dataValidation type="whole" operator="greaterThanOrEqual" showInputMessage="1" showErrorMessage="1" error="Proposed dwellings must be a whole number, 0 or greater" sqref="G32:L34 G28:L30" xr:uid="{00000000-0002-0000-0300-000001000000}">
      <formula1>0</formula1>
    </dataValidation>
    <dataValidation type="decimal" operator="greaterThanOrEqual" showInputMessage="1" showErrorMessage="1" error="Floorspace must be a number, 0 or greater" sqref="F51:F54 E51:E70 F60:F70" xr:uid="{00000000-0002-0000-0300-000002000000}">
      <formula1>0</formula1>
    </dataValidation>
    <dataValidation type="decimal" showInputMessage="1" showErrorMessage="1" error="Must be a number, less than or equal to the total proposed sui generis and flexible uses floorspace" sqref="H86:I86" xr:uid="{00000000-0002-0000-0300-000003000000}">
      <formula1>0</formula1>
      <formula2>SUM(E69:E70)</formula2>
    </dataValidation>
    <dataValidation type="decimal" showInputMessage="1" showErrorMessage="1" error="Must be a number, less than or equal to the total proposed sui generis and flexible use floorspace" sqref="H78:I78" xr:uid="{00000000-0002-0000-0300-000004000000}">
      <formula1>0</formula1>
      <formula2>SUM(E69:F70)</formula2>
    </dataValidation>
    <dataValidation type="decimal" showInputMessage="1" showErrorMessage="1" error="Must be a number, less than or equal to the total proposed sui generis and flexible uses floorspace" sqref="I94:J94" xr:uid="{00000000-0002-0000-0300-000005000000}">
      <formula1>0</formula1>
      <formula2>SUM(E69:F70)</formula2>
    </dataValidation>
    <dataValidation type="decimal" operator="greaterThanOrEqual" allowBlank="1" showInputMessage="1" showErrorMessage="1" error="Must be a number, 0 or greater" sqref="H99" xr:uid="{00000000-0002-0000-0300-000007000000}">
      <formula1>0</formula1>
    </dataValidation>
    <dataValidation type="decimal" operator="greaterThan" showInputMessage="1" showErrorMessage="1" error="Site area must be a number greater than 0" sqref="D7" xr:uid="{DC855F93-894A-4AB9-B3A6-5A06BED5BC68}">
      <formula1>0</formula1>
    </dataValidation>
    <dataValidation type="decimal" operator="greaterThan" showInputMessage="1" showErrorMessage="1" error="Building height must be a number greater than 0" sqref="E20" xr:uid="{EE2A2741-9045-4373-9600-7504A6C6C798}">
      <formula1>0</formula1>
    </dataValidation>
  </dataValidations>
  <hyperlinks>
    <hyperlink ref="F104" location="'C'!A1" display="'C'!A1" xr:uid="{00000000-0004-0000-0300-000000000000}"/>
    <hyperlink ref="F105" location="D!A1" display="D!A1" xr:uid="{00000000-0004-0000-0300-000002000000}"/>
    <hyperlink ref="F106" location="E!A1" display="E!A1" xr:uid="{00000000-0004-0000-0300-000003000000}"/>
    <hyperlink ref="F107" location="H!A1" display="H!A1" xr:uid="{00000000-0004-0000-0300-000004000000}"/>
    <hyperlink ref="F108" location="I!A1" display="I!A1" xr:uid="{00000000-0004-0000-0300-000005000000}"/>
    <hyperlink ref="F109" location="J!A1" display="J!A1" xr:uid="{00000000-0004-0000-0300-000006000000}"/>
    <hyperlink ref="F110" location="K!A1" display="K!A1" xr:uid="{00000000-0004-0000-0300-000007000000}"/>
  </hyperlinks>
  <pageMargins left="0.39370078740157483" right="0.39370078740157483" top="0.39370078740157483" bottom="0.39370078740157483" header="0.19685039370078741" footer="0.19685039370078741"/>
  <pageSetup paperSize="9" scale="95" orientation="landscape" r:id="rId1"/>
  <headerFooter>
    <oddHeader>&amp;L&amp;"Calibri"&amp;10&amp;K000000Official&amp;1#_x000D_&amp;"Calibri"&amp;11&amp;K000000&amp;9&amp;F</oddHeader>
    <oddFooter>&amp;R&amp;9Page &amp;P of &amp;N</oddFooter>
  </headerFooter>
  <rowBreaks count="2" manualBreakCount="2">
    <brk id="44" min="1" max="15" man="1"/>
    <brk id="80" min="1"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error="Valid responses are 'Yes' or 'No'" xr:uid="{00000000-0002-0000-0300-000008000000}">
          <x14:formula1>
            <xm:f>'Lookup Yes and No'!$A$1:$A$2</xm:f>
          </x14:formula1>
          <xm:sqref>K40:K41 K43 H18 H14</xm:sqref>
        </x14:dataValidation>
        <x14:dataValidation type="list" allowBlank="1" showInputMessage="1" showErrorMessage="1" error="Valid responses are 'Residential' or 'Non-residential'" xr:uid="{00000000-0002-0000-0300-000009000000}">
          <x14:formula1>
            <xm:f>'Lookup Predominant Use'!$A$1:$A$2</xm:f>
          </x14:formula1>
          <xm:sqref>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P47"/>
  <sheetViews>
    <sheetView workbookViewId="0">
      <selection activeCell="H69" sqref="H69:M71"/>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275" t="s">
        <v>353</v>
      </c>
      <c r="D3" s="275"/>
      <c r="E3" s="275"/>
      <c r="F3" s="275"/>
      <c r="G3" s="96"/>
      <c r="H3" s="96"/>
      <c r="I3" s="96"/>
      <c r="J3" s="96"/>
      <c r="K3" s="96"/>
      <c r="L3" s="96"/>
      <c r="M3" s="96"/>
      <c r="N3" s="96"/>
      <c r="O3" s="96"/>
      <c r="P3" s="97"/>
    </row>
    <row r="4" spans="2:16" ht="13.8" thickTop="1" x14ac:dyDescent="0.25">
      <c r="B4" s="93"/>
      <c r="P4" s="94"/>
    </row>
    <row r="5" spans="2:16" x14ac:dyDescent="0.25">
      <c r="B5" s="93"/>
      <c r="C5" t="s">
        <v>220</v>
      </c>
      <c r="F5" s="138">
        <f>'Development Details'!M36</f>
        <v>0</v>
      </c>
      <c r="P5" s="94"/>
    </row>
    <row r="6" spans="2:16" x14ac:dyDescent="0.25">
      <c r="B6" s="93"/>
      <c r="P6" s="94"/>
    </row>
    <row r="7" spans="2:16" ht="12.75" customHeight="1" x14ac:dyDescent="0.25">
      <c r="B7" s="93"/>
      <c r="C7" s="217" t="s">
        <v>271</v>
      </c>
      <c r="D7" s="217"/>
      <c r="E7" s="217"/>
      <c r="F7" s="217"/>
      <c r="G7" s="217"/>
      <c r="H7" s="217"/>
      <c r="I7" s="217"/>
      <c r="J7" s="217"/>
      <c r="K7" s="277" t="str">
        <f>IF(AND(ISBLANK('Development Details'!K40),F5&gt;0,F5&lt;10),Inputs_still_required,IF(AND(F5&lt;10,F5&gt;0),'Development Details'!K40,""))</f>
        <v/>
      </c>
      <c r="P7" s="94"/>
    </row>
    <row r="8" spans="2:16" x14ac:dyDescent="0.25">
      <c r="B8" s="93"/>
      <c r="C8" s="217"/>
      <c r="D8" s="217"/>
      <c r="E8" s="217"/>
      <c r="F8" s="217"/>
      <c r="G8" s="217"/>
      <c r="H8" s="217"/>
      <c r="I8" s="217"/>
      <c r="J8" s="217"/>
      <c r="K8" s="277"/>
      <c r="P8" s="94"/>
    </row>
    <row r="9" spans="2:16" x14ac:dyDescent="0.25">
      <c r="B9" s="93"/>
      <c r="P9" s="94"/>
    </row>
    <row r="10" spans="2:16" x14ac:dyDescent="0.25">
      <c r="B10" s="93"/>
      <c r="C10" s="280" t="s">
        <v>221</v>
      </c>
      <c r="D10" s="280"/>
      <c r="E10" s="280"/>
      <c r="F10" s="280"/>
      <c r="G10" s="280"/>
      <c r="H10" s="280"/>
      <c r="I10" s="280"/>
      <c r="J10" s="280"/>
      <c r="K10" s="277" t="str">
        <f>IF(AND(ISBLANK('Development Details'!K43),F5&gt;0,F5&lt;10),Inputs_still_required,IF(AND(F5&lt;10,F5&gt;0),'Development Details'!K43,""))</f>
        <v/>
      </c>
      <c r="P10" s="94"/>
    </row>
    <row r="11" spans="2:16" x14ac:dyDescent="0.25">
      <c r="B11" s="93"/>
      <c r="C11" s="280"/>
      <c r="D11" s="280"/>
      <c r="E11" s="280"/>
      <c r="F11" s="280"/>
      <c r="G11" s="280"/>
      <c r="H11" s="280"/>
      <c r="I11" s="280"/>
      <c r="J11" s="280"/>
      <c r="K11" s="277"/>
      <c r="P11" s="94"/>
    </row>
    <row r="12" spans="2:16" x14ac:dyDescent="0.25">
      <c r="B12" s="93"/>
      <c r="P12" s="94"/>
    </row>
    <row r="13" spans="2:16" ht="16.8" x14ac:dyDescent="0.3">
      <c r="B13" s="93"/>
      <c r="C13" s="3" t="s">
        <v>101</v>
      </c>
      <c r="P13" s="94"/>
    </row>
    <row r="14" spans="2:16" x14ac:dyDescent="0.25">
      <c r="B14" s="93"/>
      <c r="P14" s="94"/>
    </row>
    <row r="15" spans="2:16" ht="12.75" customHeight="1" x14ac:dyDescent="0.25">
      <c r="B15" s="93"/>
      <c r="C15" s="278" t="str">
        <f>IF(F5&gt;=10,"Yes",IF(F5=0,"No",IF(AND(F5&gt;0,(OR('Development Details'!K40="Yes",'Development Details'!K43="Yes"))),"Yes",IF(OR(ISBLANK('Development Details'!K40),ISBLANK('Development Details'!K43)),Inputs_still_required,"No"))))</f>
        <v>No</v>
      </c>
      <c r="D15" s="279" t="s">
        <v>103</v>
      </c>
      <c r="E15" s="278" t="str">
        <f>IF(F5=0, "No dwellings are proposed", IF(F5&gt;=10, "10 or more dwellings are proposed", IF(OR('Development Details'!K40="Yes",'Development Details'!K43="Yes"),  "Densities are below the London Plan SRQ density matrix or dwellings sizes significantly exceed the London Plan space standards", IF(OR(ISBLANK('Development Details'!K40),ISBLANK('Development Details'!K43)),Inputs_still_required, "Less than 10 dwellings are proposed and densities are not below the London Plan SRQ density matrix and dwellings sizes do not significantly exceed the London Plan space standards"))))</f>
        <v>No dwellings are proposed</v>
      </c>
      <c r="F15" s="278"/>
      <c r="G15" s="278"/>
      <c r="H15" s="278"/>
      <c r="I15" s="278"/>
      <c r="J15" s="278"/>
      <c r="K15" s="278"/>
      <c r="L15" s="278"/>
      <c r="M15" s="278"/>
      <c r="P15" s="94"/>
    </row>
    <row r="16" spans="2:16" x14ac:dyDescent="0.25">
      <c r="B16" s="93"/>
      <c r="C16" s="278"/>
      <c r="D16" s="279"/>
      <c r="E16" s="278"/>
      <c r="F16" s="278"/>
      <c r="G16" s="278"/>
      <c r="H16" s="278"/>
      <c r="I16" s="278"/>
      <c r="J16" s="278"/>
      <c r="K16" s="278"/>
      <c r="L16" s="278"/>
      <c r="M16" s="278"/>
      <c r="P16" s="94"/>
    </row>
    <row r="17" spans="2:16" x14ac:dyDescent="0.25">
      <c r="B17" s="93"/>
      <c r="P17" s="94"/>
    </row>
    <row r="18" spans="2:16" ht="16.8" x14ac:dyDescent="0.3">
      <c r="B18" s="93"/>
      <c r="C18" s="3" t="s">
        <v>122</v>
      </c>
      <c r="P18" s="94"/>
    </row>
    <row r="19" spans="2:16" x14ac:dyDescent="0.25">
      <c r="B19" s="93"/>
      <c r="P19" s="94"/>
    </row>
    <row r="20" spans="2:16" x14ac:dyDescent="0.25">
      <c r="B20" s="93"/>
      <c r="C20" s="276" t="str">
        <f>IF(C15="Yes","The maximum reasonable amount of affordable housing will be sought",IF(C15=Inputs_still_required,Inputs_still_required,No_requirement))</f>
        <v/>
      </c>
      <c r="D20" s="276"/>
      <c r="E20" s="276"/>
      <c r="F20" s="276"/>
      <c r="G20" s="276"/>
      <c r="H20" s="276"/>
      <c r="I20" s="276"/>
      <c r="P20" s="94"/>
    </row>
    <row r="21" spans="2:16" x14ac:dyDescent="0.25">
      <c r="B21" s="101"/>
      <c r="C21" s="102"/>
      <c r="D21" s="102"/>
      <c r="E21" s="102"/>
      <c r="F21" s="102"/>
      <c r="G21" s="102"/>
      <c r="H21" s="102"/>
      <c r="I21" s="102"/>
      <c r="J21" s="102"/>
      <c r="K21" s="102"/>
      <c r="L21" s="102"/>
      <c r="M21" s="102"/>
      <c r="N21" s="102"/>
      <c r="O21" s="102"/>
      <c r="P21" s="103"/>
    </row>
    <row r="23" spans="2:16" x14ac:dyDescent="0.25">
      <c r="C23" s="63" t="s">
        <v>213</v>
      </c>
    </row>
    <row r="47" spans="3:3" x14ac:dyDescent="0.25">
      <c r="C47" s="194"/>
    </row>
  </sheetData>
  <sheetProtection algorithmName="SHA-512" hashValue="ycyFMZLekbVj7q4pSAed17plPW9tLsRdOS/BclyeZej5bN9ZjmDGQihZJsy83dXSD2Jzz1EHpVJRwwCwwEO2+Q==" saltValue="WQ4w+rdxsT17Tf1IXOIM+Q==" spinCount="100000" sheet="1" selectLockedCells="1"/>
  <mergeCells count="9">
    <mergeCell ref="C3:F3"/>
    <mergeCell ref="C20:I20"/>
    <mergeCell ref="K7:K8"/>
    <mergeCell ref="K10:K11"/>
    <mergeCell ref="E15:M16"/>
    <mergeCell ref="C15:C16"/>
    <mergeCell ref="D15:D16"/>
    <mergeCell ref="C7:J8"/>
    <mergeCell ref="C10:J11"/>
  </mergeCells>
  <conditionalFormatting sqref="C15:C16">
    <cfRule type="expression" dxfId="48" priority="2">
      <formula>$C$15="Yes"</formula>
    </cfRule>
  </conditionalFormatting>
  <conditionalFormatting sqref="C20:I20">
    <cfRule type="expression" dxfId="47" priority="1">
      <formula>$C$15="Yes"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B2:P44"/>
  <sheetViews>
    <sheetView workbookViewId="0">
      <selection activeCell="D19" sqref="D19:D20"/>
    </sheetView>
  </sheetViews>
  <sheetFormatPr defaultColWidth="9.109375" defaultRowHeight="13.2" x14ac:dyDescent="0.25"/>
  <cols>
    <col min="1" max="2" width="2.6640625" customWidth="1"/>
    <col min="5" max="5" width="9.109375" customWidth="1"/>
    <col min="7" max="7" width="9.109375" customWidth="1"/>
    <col min="10" max="10" width="9.10937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404</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D5" s="3"/>
      <c r="E5" s="3"/>
      <c r="F5" s="3"/>
      <c r="G5" s="3"/>
      <c r="H5" s="3"/>
      <c r="I5" s="3"/>
      <c r="J5" s="3"/>
      <c r="K5" s="3"/>
      <c r="L5" s="3"/>
      <c r="M5" s="3"/>
      <c r="N5" s="3"/>
      <c r="P5" s="94"/>
    </row>
    <row r="6" spans="2:16" x14ac:dyDescent="0.25">
      <c r="B6" s="93"/>
      <c r="P6" s="94"/>
    </row>
    <row r="7" spans="2:16" x14ac:dyDescent="0.25">
      <c r="B7" s="93"/>
      <c r="C7" s="139" t="str">
        <f>IF(OR('Development Details'!M36&gt;=100,'Development Details'!H79&gt;=1000),"Yes","No")</f>
        <v>No</v>
      </c>
      <c r="D7" s="1" t="s">
        <v>103</v>
      </c>
      <c r="E7" s="276" t="str">
        <f>IF(C7="Yes","The development provides 100 or more dwellings, or 1,000m² or more commercial floorspace, or both","The development provides less than 100 dwellings and less than 1,000m² commercial floorspace")</f>
        <v>The development provides less than 100 dwellings and less than 1,000m² commercial floorspace</v>
      </c>
      <c r="F7" s="276"/>
      <c r="G7" s="276"/>
      <c r="H7" s="276"/>
      <c r="I7" s="276"/>
      <c r="J7" s="276"/>
      <c r="K7" s="276"/>
      <c r="L7" s="276"/>
      <c r="M7" s="276"/>
      <c r="N7" s="276"/>
      <c r="P7" s="94"/>
    </row>
    <row r="8" spans="2:16" x14ac:dyDescent="0.25">
      <c r="B8" s="93"/>
      <c r="P8" s="94"/>
    </row>
    <row r="9" spans="2:16" ht="16.8" x14ac:dyDescent="0.3">
      <c r="B9" s="90"/>
      <c r="C9" s="127" t="s">
        <v>434</v>
      </c>
      <c r="D9" s="91"/>
      <c r="E9" s="91"/>
      <c r="F9" s="91"/>
      <c r="G9" s="91"/>
      <c r="H9" s="91"/>
      <c r="I9" s="91"/>
      <c r="J9" s="91"/>
      <c r="K9" s="91"/>
      <c r="L9" s="91"/>
      <c r="M9" s="91"/>
      <c r="N9" s="91"/>
      <c r="O9" s="91"/>
      <c r="P9" s="92"/>
    </row>
    <row r="10" spans="2:16" x14ac:dyDescent="0.25">
      <c r="B10" s="93"/>
      <c r="P10" s="94"/>
    </row>
    <row r="11" spans="2:16" x14ac:dyDescent="0.25">
      <c r="B11" s="93"/>
      <c r="C11" s="140" t="s">
        <v>355</v>
      </c>
      <c r="G11" s="229"/>
      <c r="H11" s="229"/>
      <c r="P11" s="94"/>
    </row>
    <row r="12" spans="2:16" x14ac:dyDescent="0.25">
      <c r="B12" s="93"/>
      <c r="C12" s="140"/>
      <c r="P12" s="94"/>
    </row>
    <row r="13" spans="2:16" x14ac:dyDescent="0.25">
      <c r="B13" s="93"/>
      <c r="C13" s="283" t="s">
        <v>356</v>
      </c>
      <c r="D13" s="283"/>
      <c r="E13" s="283"/>
      <c r="F13" s="283"/>
      <c r="G13" s="283"/>
      <c r="H13" s="179" t="s">
        <v>118</v>
      </c>
      <c r="I13" s="284" t="s">
        <v>425</v>
      </c>
      <c r="J13" s="284"/>
      <c r="K13" s="284"/>
      <c r="L13" s="284"/>
      <c r="M13" s="284"/>
      <c r="N13" s="98"/>
      <c r="O13" s="98"/>
      <c r="P13" s="94"/>
    </row>
    <row r="14" spans="2:16" x14ac:dyDescent="0.25">
      <c r="B14" s="93"/>
      <c r="C14" s="285"/>
      <c r="D14" s="285"/>
      <c r="E14" s="285"/>
      <c r="F14" s="285"/>
      <c r="G14" s="285"/>
      <c r="H14" s="142" t="s">
        <v>118</v>
      </c>
      <c r="I14" s="285" t="str">
        <f>IF(C7="No","","("&amp;TEXT('Development Details'!E71,"#,##0")&amp;" / 1,000) × 5")</f>
        <v/>
      </c>
      <c r="J14" s="285"/>
      <c r="K14" s="285"/>
      <c r="L14" s="285"/>
      <c r="M14" s="285"/>
      <c r="P14" s="94"/>
    </row>
    <row r="15" spans="2:16" x14ac:dyDescent="0.25">
      <c r="B15" s="93"/>
      <c r="C15" s="276"/>
      <c r="D15" s="276"/>
      <c r="E15" s="276"/>
      <c r="F15" s="276"/>
      <c r="G15" s="276"/>
      <c r="H15" s="144" t="s">
        <v>118</v>
      </c>
      <c r="I15" s="286" t="str">
        <f>IF(C7="No","",('Development Details'!E71/1000)*5)</f>
        <v/>
      </c>
      <c r="J15" s="286"/>
      <c r="K15" s="286"/>
      <c r="L15" s="286"/>
      <c r="M15" s="286"/>
      <c r="P15" s="94"/>
    </row>
    <row r="16" spans="2:16" x14ac:dyDescent="0.25">
      <c r="B16" s="93"/>
      <c r="C16" s="140"/>
      <c r="P16" s="94"/>
    </row>
    <row r="17" spans="2:16" x14ac:dyDescent="0.25">
      <c r="B17" s="93"/>
      <c r="C17" s="140" t="s">
        <v>357</v>
      </c>
      <c r="P17" s="94"/>
    </row>
    <row r="18" spans="2:16" x14ac:dyDescent="0.25">
      <c r="B18" s="93"/>
      <c r="P18" s="94"/>
    </row>
    <row r="19" spans="2:16" x14ac:dyDescent="0.25">
      <c r="B19" s="93"/>
      <c r="C19" s="249" t="s">
        <v>432</v>
      </c>
      <c r="D19" s="287">
        <v>0</v>
      </c>
      <c r="E19" s="251" t="s">
        <v>438</v>
      </c>
      <c r="F19" s="251"/>
      <c r="G19" s="251"/>
      <c r="H19" s="251"/>
      <c r="I19" s="251"/>
      <c r="J19" s="251"/>
      <c r="K19" s="251"/>
      <c r="L19" s="251"/>
      <c r="M19" s="251"/>
      <c r="N19" s="251"/>
      <c r="O19" s="251"/>
      <c r="P19" s="94"/>
    </row>
    <row r="20" spans="2:16" x14ac:dyDescent="0.25">
      <c r="B20" s="93"/>
      <c r="C20" s="249"/>
      <c r="D20" s="287"/>
      <c r="E20" s="251"/>
      <c r="F20" s="251"/>
      <c r="G20" s="251"/>
      <c r="H20" s="251"/>
      <c r="I20" s="251"/>
      <c r="J20" s="251"/>
      <c r="K20" s="251"/>
      <c r="L20" s="251"/>
      <c r="M20" s="251"/>
      <c r="N20" s="251"/>
      <c r="O20" s="251"/>
      <c r="P20" s="94"/>
    </row>
    <row r="21" spans="2:16" x14ac:dyDescent="0.25">
      <c r="B21" s="93"/>
      <c r="P21" s="94"/>
    </row>
    <row r="22" spans="2:16" ht="12.75" customHeight="1" x14ac:dyDescent="0.25">
      <c r="B22" s="93"/>
      <c r="C22" s="283" t="s">
        <v>356</v>
      </c>
      <c r="D22" s="283"/>
      <c r="E22" s="283"/>
      <c r="F22" s="283"/>
      <c r="G22" s="283"/>
      <c r="H22" s="179" t="s">
        <v>118</v>
      </c>
      <c r="I22" s="282" t="s">
        <v>433</v>
      </c>
      <c r="J22" s="282"/>
      <c r="K22" s="282"/>
      <c r="L22" s="282"/>
      <c r="M22" s="282"/>
      <c r="N22" s="98"/>
      <c r="O22" s="98"/>
      <c r="P22" s="94"/>
    </row>
    <row r="23" spans="2:16" x14ac:dyDescent="0.25">
      <c r="B23" s="93"/>
      <c r="C23" s="201"/>
      <c r="D23" s="201"/>
      <c r="E23" s="201"/>
      <c r="F23" s="201"/>
      <c r="G23" s="201"/>
      <c r="H23" s="179"/>
      <c r="I23" s="282"/>
      <c r="J23" s="282"/>
      <c r="K23" s="282"/>
      <c r="L23" s="282"/>
      <c r="M23" s="282"/>
      <c r="N23" s="98"/>
      <c r="O23" s="98"/>
      <c r="P23" s="94"/>
    </row>
    <row r="24" spans="2:16" x14ac:dyDescent="0.25">
      <c r="B24" s="93"/>
      <c r="C24" s="285"/>
      <c r="D24" s="285"/>
      <c r="E24" s="285"/>
      <c r="F24" s="285"/>
      <c r="G24" s="285"/>
      <c r="H24" s="142" t="s">
        <v>118</v>
      </c>
      <c r="I24" s="285" t="str">
        <f>IF(C7="No","",TEXT(B!D19,"#,##0.0")&amp;" × 27%")</f>
        <v/>
      </c>
      <c r="J24" s="285"/>
      <c r="K24" s="285"/>
      <c r="L24" s="285"/>
      <c r="M24" s="285"/>
      <c r="P24" s="94"/>
    </row>
    <row r="25" spans="2:16" ht="12.75" customHeight="1" x14ac:dyDescent="0.25">
      <c r="B25" s="93"/>
      <c r="C25" s="276"/>
      <c r="D25" s="276"/>
      <c r="E25" s="276"/>
      <c r="F25" s="276"/>
      <c r="G25" s="276"/>
      <c r="H25" s="144" t="s">
        <v>118</v>
      </c>
      <c r="I25" s="286" t="str">
        <f>IF(C7="No","",B!D19*27/100)</f>
        <v/>
      </c>
      <c r="J25" s="286"/>
      <c r="K25" s="286"/>
      <c r="L25" s="286"/>
      <c r="M25" s="286"/>
      <c r="P25" s="94"/>
    </row>
    <row r="26" spans="2:16" ht="12.75" customHeight="1" x14ac:dyDescent="0.25">
      <c r="B26" s="93"/>
      <c r="P26" s="94"/>
    </row>
    <row r="27" spans="2:16" ht="12.75" customHeight="1" x14ac:dyDescent="0.25">
      <c r="B27" s="93"/>
      <c r="C27" s="119" t="s">
        <v>26</v>
      </c>
      <c r="P27" s="94"/>
    </row>
    <row r="28" spans="2:16" ht="12.75" customHeight="1" x14ac:dyDescent="0.25">
      <c r="B28" s="93"/>
      <c r="P28" s="94"/>
    </row>
    <row r="29" spans="2:16" ht="12.75" customHeight="1" x14ac:dyDescent="0.25">
      <c r="B29" s="93"/>
      <c r="C29" s="283" t="s">
        <v>356</v>
      </c>
      <c r="D29" s="283"/>
      <c r="E29" s="283"/>
      <c r="F29" s="283"/>
      <c r="G29" s="283"/>
      <c r="H29" s="179" t="s">
        <v>118</v>
      </c>
      <c r="I29" s="284" t="s">
        <v>435</v>
      </c>
      <c r="J29" s="284"/>
      <c r="K29" s="284"/>
      <c r="L29" s="284"/>
      <c r="M29" s="284"/>
      <c r="P29" s="94"/>
    </row>
    <row r="30" spans="2:16" ht="12.75" customHeight="1" x14ac:dyDescent="0.25">
      <c r="B30" s="93"/>
      <c r="C30" s="285"/>
      <c r="D30" s="285"/>
      <c r="E30" s="285"/>
      <c r="F30" s="285"/>
      <c r="G30" s="285"/>
      <c r="H30" s="142" t="s">
        <v>118</v>
      </c>
      <c r="I30" s="285" t="str">
        <f>IF(C7="No","",TEXT(I15,"#,##0.0")&amp;" + "&amp;TEXT(I25,"#,##0.0"))</f>
        <v/>
      </c>
      <c r="J30" s="285"/>
      <c r="K30" s="285"/>
      <c r="L30" s="285"/>
      <c r="M30" s="285"/>
      <c r="P30" s="94"/>
    </row>
    <row r="31" spans="2:16" ht="12.75" customHeight="1" x14ac:dyDescent="0.25">
      <c r="B31" s="93"/>
      <c r="C31" s="276"/>
      <c r="D31" s="276"/>
      <c r="E31" s="276"/>
      <c r="F31" s="276"/>
      <c r="G31" s="276"/>
      <c r="H31" s="144" t="s">
        <v>118</v>
      </c>
      <c r="I31" s="286" t="str">
        <f>IF(C7="No","",I15+I25)</f>
        <v/>
      </c>
      <c r="J31" s="286"/>
      <c r="K31" s="286"/>
      <c r="L31" s="286"/>
      <c r="M31" s="286"/>
      <c r="P31" s="94"/>
    </row>
    <row r="32" spans="2:16" x14ac:dyDescent="0.25">
      <c r="B32" s="93"/>
      <c r="P32" s="94"/>
    </row>
    <row r="33" spans="2:16" ht="16.8" x14ac:dyDescent="0.3">
      <c r="B33" s="90"/>
      <c r="C33" s="127" t="s">
        <v>406</v>
      </c>
      <c r="D33" s="91"/>
      <c r="E33" s="91"/>
      <c r="F33" s="91"/>
      <c r="G33" s="91"/>
      <c r="H33" s="91"/>
      <c r="I33" s="91"/>
      <c r="J33" s="91"/>
      <c r="K33" s="91"/>
      <c r="L33" s="91"/>
      <c r="M33" s="91"/>
      <c r="N33" s="91"/>
      <c r="O33" s="91"/>
      <c r="P33" s="92"/>
    </row>
    <row r="34" spans="2:16" ht="13.8" thickBot="1" x14ac:dyDescent="0.3">
      <c r="B34" s="93"/>
      <c r="P34" s="94"/>
    </row>
    <row r="35" spans="2:16" ht="12.75" customHeight="1" x14ac:dyDescent="0.25">
      <c r="B35" s="93"/>
      <c r="C35" s="85" t="s">
        <v>60</v>
      </c>
      <c r="D35" s="281" t="s">
        <v>436</v>
      </c>
      <c r="E35" s="281"/>
      <c r="F35" s="281"/>
      <c r="G35" s="281"/>
      <c r="H35" s="281"/>
      <c r="I35" s="281"/>
      <c r="J35" s="281"/>
      <c r="K35" s="281"/>
      <c r="L35" s="281"/>
      <c r="M35" s="184" t="str">
        <f>IF(C7="No","",I31)</f>
        <v/>
      </c>
      <c r="N35" s="241" t="s">
        <v>365</v>
      </c>
      <c r="O35" s="241"/>
      <c r="P35" s="94"/>
    </row>
    <row r="36" spans="2:16" x14ac:dyDescent="0.25">
      <c r="B36" s="93"/>
      <c r="C36" s="162" t="s">
        <v>61</v>
      </c>
      <c r="D36" s="232" t="s">
        <v>363</v>
      </c>
      <c r="E36" s="232"/>
      <c r="F36" s="232"/>
      <c r="G36" s="232"/>
      <c r="H36" s="232"/>
      <c r="I36" s="232"/>
      <c r="J36" s="232"/>
      <c r="K36" s="232"/>
      <c r="L36" s="232"/>
      <c r="M36" s="185" t="str">
        <f>IF(C7="No","",3025)</f>
        <v/>
      </c>
      <c r="N36" s="121"/>
      <c r="P36" s="94"/>
    </row>
    <row r="37" spans="2:16" ht="13.8" thickBot="1" x14ac:dyDescent="0.3">
      <c r="B37" s="93"/>
      <c r="C37" s="166" t="s">
        <v>64</v>
      </c>
      <c r="D37" s="247" t="s">
        <v>364</v>
      </c>
      <c r="E37" s="247"/>
      <c r="F37" s="247"/>
      <c r="G37" s="247"/>
      <c r="H37" s="247"/>
      <c r="I37" s="247"/>
      <c r="J37" s="247"/>
      <c r="K37" s="247"/>
      <c r="L37" s="247"/>
      <c r="M37" s="186" t="str">
        <f>IF(C7="No","",25%)</f>
        <v/>
      </c>
      <c r="N37" s="121"/>
      <c r="P37" s="94"/>
    </row>
    <row r="38" spans="2:16" x14ac:dyDescent="0.25">
      <c r="B38" s="93"/>
      <c r="P38" s="94"/>
    </row>
    <row r="39" spans="2:16" ht="12.75" customHeight="1" x14ac:dyDescent="0.25">
      <c r="B39" s="93"/>
      <c r="C39" s="288" t="s">
        <v>362</v>
      </c>
      <c r="D39" s="288"/>
      <c r="E39" s="288"/>
      <c r="F39" s="180" t="s">
        <v>118</v>
      </c>
      <c r="G39" s="290" t="s">
        <v>437</v>
      </c>
      <c r="H39" s="290"/>
      <c r="I39" s="290"/>
      <c r="P39" s="94"/>
    </row>
    <row r="40" spans="2:16" ht="12.75" customHeight="1" x14ac:dyDescent="0.25">
      <c r="B40" s="93"/>
      <c r="C40" s="181"/>
      <c r="D40" s="181"/>
      <c r="E40" s="181"/>
      <c r="F40" s="182" t="s">
        <v>118</v>
      </c>
      <c r="G40" s="289" t="str">
        <f>IF(C7="No","",(TEXT(M35,"#,##0.0")&amp;" × "&amp;TEXT(M36,"£#,##0")&amp;" × "&amp;TEXT(M37,"0%")))</f>
        <v/>
      </c>
      <c r="H40" s="289"/>
      <c r="I40" s="289"/>
      <c r="P40" s="94"/>
    </row>
    <row r="41" spans="2:16" x14ac:dyDescent="0.25">
      <c r="B41" s="93"/>
      <c r="C41" s="178"/>
      <c r="D41" s="178"/>
      <c r="E41" s="178"/>
      <c r="F41" s="183" t="s">
        <v>118</v>
      </c>
      <c r="G41" s="178" t="str">
        <f>IF(C7="No","",M35*M36*M37)</f>
        <v/>
      </c>
      <c r="H41" s="178"/>
      <c r="I41" s="178"/>
      <c r="P41" s="94"/>
    </row>
    <row r="42" spans="2:16" x14ac:dyDescent="0.25">
      <c r="B42" s="101"/>
      <c r="C42" s="102"/>
      <c r="D42" s="102"/>
      <c r="E42" s="102"/>
      <c r="F42" s="102"/>
      <c r="G42" s="102"/>
      <c r="H42" s="102"/>
      <c r="I42" s="102"/>
      <c r="J42" s="102"/>
      <c r="K42" s="102"/>
      <c r="L42" s="102"/>
      <c r="M42" s="102"/>
      <c r="N42" s="102"/>
      <c r="O42" s="102"/>
      <c r="P42" s="103"/>
    </row>
    <row r="43" spans="2:16" x14ac:dyDescent="0.25">
      <c r="C43" s="194"/>
    </row>
    <row r="44" spans="2:16" x14ac:dyDescent="0.25">
      <c r="C44" s="63" t="s">
        <v>213</v>
      </c>
    </row>
  </sheetData>
  <sheetProtection algorithmName="SHA-512" hashValue="53E5iVOzRFEX9KHBWndqJCdeokJJOXF/YaKXj6ve9efkgJHHO8n2GW0/i11OJgU4OYor4pHd3hqRNFPaPbzRoQ==" saltValue="u6KTrXqnWwO9AJ2Rn7Vvgg==" spinCount="100000" sheet="1" selectLockedCells="1"/>
  <mergeCells count="30">
    <mergeCell ref="C39:E39"/>
    <mergeCell ref="G40:I40"/>
    <mergeCell ref="G39:I39"/>
    <mergeCell ref="C22:G22"/>
    <mergeCell ref="C24:G24"/>
    <mergeCell ref="I24:M24"/>
    <mergeCell ref="C25:G25"/>
    <mergeCell ref="I25:M25"/>
    <mergeCell ref="I13:M13"/>
    <mergeCell ref="I14:M14"/>
    <mergeCell ref="I15:M15"/>
    <mergeCell ref="C19:C20"/>
    <mergeCell ref="D19:D20"/>
    <mergeCell ref="E19:O20"/>
    <mergeCell ref="E7:N7"/>
    <mergeCell ref="G11:H11"/>
    <mergeCell ref="D35:L35"/>
    <mergeCell ref="D36:L36"/>
    <mergeCell ref="D37:L37"/>
    <mergeCell ref="I22:M23"/>
    <mergeCell ref="C29:G29"/>
    <mergeCell ref="I29:M29"/>
    <mergeCell ref="C30:G30"/>
    <mergeCell ref="I30:M30"/>
    <mergeCell ref="C31:G31"/>
    <mergeCell ref="I31:M31"/>
    <mergeCell ref="N35:O35"/>
    <mergeCell ref="C13:G13"/>
    <mergeCell ref="C14:G14"/>
    <mergeCell ref="C15:G15"/>
  </mergeCells>
  <conditionalFormatting sqref="C7">
    <cfRule type="expression" dxfId="46" priority="24">
      <formula>$C$7="Yes"</formula>
    </cfRule>
  </conditionalFormatting>
  <conditionalFormatting sqref="C15 H15:I15">
    <cfRule type="expression" priority="40" stopIfTrue="1">
      <formula>$I$15=""</formula>
    </cfRule>
    <cfRule type="expression" dxfId="45" priority="41">
      <formula>$I$15&gt;0</formula>
    </cfRule>
  </conditionalFormatting>
  <conditionalFormatting sqref="C41:I41">
    <cfRule type="expression" priority="5" stopIfTrue="1">
      <formula>$C$7="No"</formula>
    </cfRule>
    <cfRule type="expression" dxfId="44" priority="6">
      <formula>$C$7="Yes"</formula>
    </cfRule>
  </conditionalFormatting>
  <conditionalFormatting sqref="C31 H31:I31">
    <cfRule type="expression" priority="1" stopIfTrue="1">
      <formula>$I$15=""</formula>
    </cfRule>
    <cfRule type="expression" dxfId="43" priority="2">
      <formula>$I$15&gt;0</formula>
    </cfRule>
  </conditionalFormatting>
  <conditionalFormatting sqref="C25:M25">
    <cfRule type="expression" priority="3" stopIfTrue="1">
      <formula>$I$15=""</formula>
    </cfRule>
    <cfRule type="expression" dxfId="42" priority="4">
      <formula>$I$15&gt;0</formula>
    </cfRule>
  </conditionalFormatting>
  <dataValidations count="1">
    <dataValidation type="decimal" operator="greaterThanOrEqual" showInputMessage="1" showErrorMessage="1" error="Employee yield must be a number greater than or equal to 0" sqref="D19:D20" xr:uid="{C61840D0-68EE-4027-B4C8-6DB9FA755EA8}">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B2:P47"/>
  <sheetViews>
    <sheetView workbookViewId="0">
      <selection activeCell="L13" sqref="L13"/>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427</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D5" s="3"/>
      <c r="E5" s="3"/>
      <c r="F5" s="3"/>
      <c r="G5" s="3"/>
      <c r="H5" s="3"/>
      <c r="I5" s="3"/>
      <c r="J5" s="3"/>
      <c r="K5" s="3"/>
      <c r="L5" s="3"/>
      <c r="M5" s="3"/>
      <c r="P5" s="94"/>
    </row>
    <row r="6" spans="2:16" x14ac:dyDescent="0.25">
      <c r="B6" s="93"/>
      <c r="P6" s="94"/>
    </row>
    <row r="7" spans="2:16" x14ac:dyDescent="0.25">
      <c r="B7" s="93"/>
      <c r="C7" s="139" t="str">
        <f>IF(AND('Development Details'!M36&gt;=10,'Development Details'!M36&lt;=99),"Yes","No")</f>
        <v>No</v>
      </c>
      <c r="D7" s="1" t="s">
        <v>103</v>
      </c>
      <c r="E7" s="276" t="str">
        <f>IF(C7="Yes","The development provides between 10 and 99 dwellings","The development provides less than 10 or more than 99 dwellings")</f>
        <v>The development provides less than 10 or more than 99 dwellings</v>
      </c>
      <c r="F7" s="276"/>
      <c r="G7" s="276"/>
      <c r="H7" s="276"/>
      <c r="I7" s="276"/>
      <c r="J7" s="276"/>
      <c r="K7" s="276"/>
      <c r="L7" s="276"/>
      <c r="P7" s="94"/>
    </row>
    <row r="8" spans="2:16" x14ac:dyDescent="0.25">
      <c r="B8" s="93"/>
      <c r="P8" s="94"/>
    </row>
    <row r="9" spans="2:16" x14ac:dyDescent="0.25">
      <c r="B9" s="93"/>
      <c r="C9" t="s">
        <v>367</v>
      </c>
      <c r="G9" s="291">
        <f>'Development Details'!H99</f>
        <v>0</v>
      </c>
      <c r="H9" s="291"/>
      <c r="P9" s="94"/>
    </row>
    <row r="10" spans="2:16" x14ac:dyDescent="0.25">
      <c r="B10" s="93"/>
      <c r="P10" s="94"/>
    </row>
    <row r="11" spans="2:16" ht="16.8" x14ac:dyDescent="0.3">
      <c r="B11" s="93"/>
      <c r="C11" s="3" t="s">
        <v>366</v>
      </c>
      <c r="P11" s="94"/>
    </row>
    <row r="12" spans="2:16" x14ac:dyDescent="0.25">
      <c r="B12" s="93"/>
      <c r="P12" s="94"/>
    </row>
    <row r="13" spans="2:16" x14ac:dyDescent="0.25">
      <c r="B13" s="93"/>
      <c r="C13" t="s">
        <v>368</v>
      </c>
      <c r="L13" s="188">
        <v>0</v>
      </c>
      <c r="P13" s="94"/>
    </row>
    <row r="14" spans="2:16" x14ac:dyDescent="0.25">
      <c r="B14" s="93"/>
      <c r="P14" s="94"/>
    </row>
    <row r="15" spans="2:16" ht="12.75" customHeight="1" x14ac:dyDescent="0.25">
      <c r="B15" s="93"/>
      <c r="C15" s="288" t="s">
        <v>366</v>
      </c>
      <c r="D15" s="288"/>
      <c r="E15" s="179" t="s">
        <v>118</v>
      </c>
      <c r="F15" s="288" t="s">
        <v>369</v>
      </c>
      <c r="G15" s="288"/>
      <c r="H15" s="288"/>
      <c r="P15" s="94"/>
    </row>
    <row r="16" spans="2:16" x14ac:dyDescent="0.25">
      <c r="B16" s="93"/>
      <c r="C16" s="143"/>
      <c r="D16" s="143"/>
      <c r="E16" s="142" t="s">
        <v>118</v>
      </c>
      <c r="F16" s="143" t="str">
        <f>IF(C7="No","",IF(ISBLANK(L13),Inputs_still_required,(TEXT(L13,"#,##0.0")&amp;" × £3,205")))</f>
        <v/>
      </c>
      <c r="G16" s="143"/>
      <c r="H16" s="143"/>
      <c r="P16" s="94"/>
    </row>
    <row r="17" spans="2:16" x14ac:dyDescent="0.25">
      <c r="B17" s="93"/>
      <c r="C17" s="139"/>
      <c r="D17" s="139"/>
      <c r="E17" s="144" t="s">
        <v>118</v>
      </c>
      <c r="F17" s="291" t="str">
        <f>IF(C7="No","",IF(ISBLANK(L13),Inputs_still_required,(L13*3205)))</f>
        <v/>
      </c>
      <c r="G17" s="291"/>
      <c r="H17" s="291"/>
      <c r="P17" s="94"/>
    </row>
    <row r="18" spans="2:16" x14ac:dyDescent="0.25">
      <c r="B18" s="93"/>
      <c r="P18" s="94"/>
    </row>
    <row r="19" spans="2:16" x14ac:dyDescent="0.25">
      <c r="B19" s="90"/>
      <c r="C19" s="91"/>
      <c r="D19" s="91"/>
      <c r="E19" s="91"/>
      <c r="F19" s="91"/>
      <c r="G19" s="91"/>
      <c r="H19" s="91"/>
      <c r="I19" s="91"/>
      <c r="J19" s="91"/>
      <c r="K19" s="91"/>
      <c r="L19" s="91"/>
      <c r="M19" s="91"/>
      <c r="N19" s="91"/>
      <c r="O19" s="91"/>
      <c r="P19" s="92"/>
    </row>
    <row r="20" spans="2:16" ht="19.2" thickBot="1" x14ac:dyDescent="0.35">
      <c r="B20" s="95"/>
      <c r="C20" s="96" t="s">
        <v>409</v>
      </c>
      <c r="D20" s="96"/>
      <c r="E20" s="96"/>
      <c r="F20" s="96"/>
      <c r="G20" s="96"/>
      <c r="H20" s="96"/>
      <c r="I20" s="96"/>
      <c r="J20" s="96"/>
      <c r="K20" s="96"/>
      <c r="L20" s="96"/>
      <c r="M20" s="96"/>
      <c r="N20" s="96"/>
      <c r="O20" s="96"/>
      <c r="P20" s="97"/>
    </row>
    <row r="21" spans="2:16" ht="13.8" thickTop="1" x14ac:dyDescent="0.25">
      <c r="B21" s="93"/>
      <c r="P21" s="94"/>
    </row>
    <row r="22" spans="2:16" ht="16.8" x14ac:dyDescent="0.3">
      <c r="B22" s="93"/>
      <c r="C22" s="3" t="s">
        <v>101</v>
      </c>
      <c r="P22" s="94"/>
    </row>
    <row r="23" spans="2:16" x14ac:dyDescent="0.25">
      <c r="B23" s="93"/>
      <c r="P23" s="94"/>
    </row>
    <row r="24" spans="2:16" x14ac:dyDescent="0.25">
      <c r="B24" s="93"/>
      <c r="C24" s="139" t="str">
        <f>IF('Development Details'!H99&gt;50000000,"Yes","No")</f>
        <v>No</v>
      </c>
      <c r="D24" s="1" t="s">
        <v>103</v>
      </c>
      <c r="E24" s="276" t="str">
        <f>IF(C24="Yes","The estimated construction value of the scheme exceeds £50,000,000","The estimated construction value of the scheme does not exceed £50,000,000")</f>
        <v>The estimated construction value of the scheme does not exceed £50,000,000</v>
      </c>
      <c r="F24" s="276"/>
      <c r="G24" s="276"/>
      <c r="H24" s="276"/>
      <c r="I24" s="276"/>
      <c r="J24" s="276"/>
      <c r="K24" s="276"/>
      <c r="L24" s="276"/>
      <c r="P24" s="94"/>
    </row>
    <row r="25" spans="2:16" x14ac:dyDescent="0.25">
      <c r="B25" s="93"/>
      <c r="P25" s="94"/>
    </row>
    <row r="26" spans="2:16" ht="16.8" x14ac:dyDescent="0.3">
      <c r="B26" s="93"/>
      <c r="C26" s="3" t="s">
        <v>120</v>
      </c>
      <c r="P26" s="94"/>
    </row>
    <row r="27" spans="2:16" x14ac:dyDescent="0.25">
      <c r="B27" s="93"/>
      <c r="P27" s="94"/>
    </row>
    <row r="28" spans="2:16" x14ac:dyDescent="0.25">
      <c r="B28" s="93"/>
      <c r="C28" s="229" t="s">
        <v>121</v>
      </c>
      <c r="D28" s="229"/>
      <c r="E28" s="229"/>
      <c r="F28" s="229"/>
      <c r="G28" s="229"/>
      <c r="H28" s="139" t="str">
        <f>C24</f>
        <v>No</v>
      </c>
      <c r="P28" s="94"/>
    </row>
    <row r="29" spans="2:16" x14ac:dyDescent="0.25">
      <c r="B29" s="101"/>
      <c r="C29" s="102"/>
      <c r="D29" s="102"/>
      <c r="E29" s="102"/>
      <c r="F29" s="102"/>
      <c r="G29" s="102"/>
      <c r="H29" s="102"/>
      <c r="I29" s="102"/>
      <c r="J29" s="102"/>
      <c r="K29" s="102"/>
      <c r="L29" s="102"/>
      <c r="M29" s="102"/>
      <c r="N29" s="102"/>
      <c r="O29" s="102"/>
      <c r="P29" s="103"/>
    </row>
    <row r="31" spans="2:16" x14ac:dyDescent="0.25">
      <c r="C31" s="63" t="s">
        <v>213</v>
      </c>
    </row>
    <row r="47" spans="3:3" x14ac:dyDescent="0.25">
      <c r="C47" s="194"/>
    </row>
  </sheetData>
  <sheetProtection algorithmName="SHA-512" hashValue="8bKHuQtXfvMVhWWi0V0eaCsD+n+NK+qsY/oUZToXFts6AWcLLoOT9rAscM3W3FXlNu4ZHJMNJF27KOZ8uZc1/A==" saltValue="4C5++wzRyAudzM+Ml+aDSw==" spinCount="100000" sheet="1" selectLockedCells="1"/>
  <mergeCells count="7">
    <mergeCell ref="E7:L7"/>
    <mergeCell ref="G9:H9"/>
    <mergeCell ref="C28:G28"/>
    <mergeCell ref="C15:D15"/>
    <mergeCell ref="F15:H15"/>
    <mergeCell ref="F17:H17"/>
    <mergeCell ref="E24:L24"/>
  </mergeCells>
  <conditionalFormatting sqref="C7">
    <cfRule type="expression" dxfId="41" priority="10">
      <formula>$C$7="Yes"</formula>
    </cfRule>
  </conditionalFormatting>
  <conditionalFormatting sqref="C24">
    <cfRule type="expression" dxfId="40" priority="5">
      <formula>$C$24="Yes"</formula>
    </cfRule>
  </conditionalFormatting>
  <conditionalFormatting sqref="H28">
    <cfRule type="expression" dxfId="39" priority="4">
      <formula>$H$28="Yes"</formula>
    </cfRule>
  </conditionalFormatting>
  <conditionalFormatting sqref="C17:F17">
    <cfRule type="expression" priority="2" stopIfTrue="1">
      <formula>$C$7="No"</formula>
    </cfRule>
    <cfRule type="expression" dxfId="38" priority="3">
      <formula>$C$7="Yes"</formula>
    </cfRule>
  </conditionalFormatting>
  <dataValidations count="1">
    <dataValidation type="decimal" operator="greaterThanOrEqual" showInputMessage="1" showErrorMessage="1" error="Number of jobs must be a number greater than or equal to 0" sqref="L13" xr:uid="{B074F452-E09D-4E6A-8DF3-B0E1BBE69C6D}">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B2:P47"/>
  <sheetViews>
    <sheetView workbookViewId="0">
      <selection activeCell="I21" sqref="I21"/>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412</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P5" s="94"/>
    </row>
    <row r="6" spans="2:16" x14ac:dyDescent="0.25">
      <c r="B6" s="93"/>
      <c r="P6" s="94"/>
    </row>
    <row r="7" spans="2:16" x14ac:dyDescent="0.25">
      <c r="B7" s="93"/>
      <c r="C7" s="139" t="str">
        <f>IF('Development Details'!H87&gt;0, "Yes", "No")</f>
        <v>No</v>
      </c>
      <c r="D7" s="1" t="s">
        <v>103</v>
      </c>
      <c r="E7" s="276" t="str">
        <f>IF(C7="Yes","The development provides economic floorspace","The development does not provide economic floorspace")</f>
        <v>The development does not provide economic floorspace</v>
      </c>
      <c r="F7" s="276"/>
      <c r="G7" s="276"/>
      <c r="H7" s="276"/>
      <c r="I7" s="276"/>
      <c r="J7" s="276"/>
      <c r="P7" s="94"/>
    </row>
    <row r="8" spans="2:16" x14ac:dyDescent="0.25">
      <c r="B8" s="93"/>
      <c r="P8" s="94"/>
    </row>
    <row r="9" spans="2:16" x14ac:dyDescent="0.25">
      <c r="B9" s="93"/>
      <c r="C9" s="280" t="s">
        <v>122</v>
      </c>
      <c r="D9" s="280"/>
      <c r="E9" s="293" t="str">
        <f>IF(C7="No","",IF('Development Details'!H87&gt;=1000,"Provide a significant element of managed workspace; or provide a proportion of office floorpsace at an affordable rent in perpetuity","Provide a range of unit sizes; and demonstrate that the space is accessible for business at all stages in their development"))</f>
        <v/>
      </c>
      <c r="F9" s="293"/>
      <c r="G9" s="293"/>
      <c r="H9" s="293"/>
      <c r="I9" s="293"/>
      <c r="J9" s="293"/>
      <c r="P9" s="94"/>
    </row>
    <row r="10" spans="2:16" x14ac:dyDescent="0.25">
      <c r="B10" s="93"/>
      <c r="C10" s="280"/>
      <c r="D10" s="280"/>
      <c r="E10" s="293"/>
      <c r="F10" s="293"/>
      <c r="G10" s="293"/>
      <c r="H10" s="293"/>
      <c r="I10" s="293"/>
      <c r="J10" s="293"/>
      <c r="P10" s="94"/>
    </row>
    <row r="11" spans="2:16" x14ac:dyDescent="0.25">
      <c r="B11" s="93"/>
      <c r="P11" s="94"/>
    </row>
    <row r="12" spans="2:16" x14ac:dyDescent="0.25">
      <c r="B12" s="93"/>
      <c r="C12" t="s">
        <v>103</v>
      </c>
      <c r="D12" s="276" t="str">
        <f>IF(C7="No","",IF('Development Details'!H87&gt;=1000,"The development provides 1,000m² or more of economic floorspace","The development provides less than 1,000m² of economic floorspace"))</f>
        <v/>
      </c>
      <c r="E12" s="276"/>
      <c r="F12" s="276"/>
      <c r="G12" s="276"/>
      <c r="H12" s="276"/>
      <c r="I12" s="276"/>
      <c r="J12" s="276"/>
      <c r="P12" s="94"/>
    </row>
    <row r="13" spans="2:16" x14ac:dyDescent="0.25">
      <c r="B13" s="93"/>
      <c r="P13" s="94"/>
    </row>
    <row r="14" spans="2:16" ht="16.8" x14ac:dyDescent="0.3">
      <c r="B14" s="93"/>
      <c r="C14" s="3" t="s">
        <v>291</v>
      </c>
      <c r="P14" s="94"/>
    </row>
    <row r="15" spans="2:16" x14ac:dyDescent="0.25">
      <c r="B15" s="93"/>
      <c r="P15" s="94"/>
    </row>
    <row r="16" spans="2:16" x14ac:dyDescent="0.25">
      <c r="B16" s="93"/>
      <c r="C16" s="147" t="s">
        <v>294</v>
      </c>
      <c r="D16" s="147"/>
      <c r="E16" s="147"/>
      <c r="F16" s="147"/>
      <c r="G16" s="141" t="s">
        <v>118</v>
      </c>
      <c r="H16" s="292" t="s">
        <v>293</v>
      </c>
      <c r="I16" s="292"/>
      <c r="J16" s="292"/>
      <c r="K16" s="292"/>
      <c r="L16" s="292"/>
      <c r="M16" s="292"/>
      <c r="P16" s="94"/>
    </row>
    <row r="17" spans="2:16" x14ac:dyDescent="0.25">
      <c r="B17" s="93"/>
      <c r="C17" s="148"/>
      <c r="D17" s="148"/>
      <c r="E17" s="148"/>
      <c r="F17" s="148"/>
      <c r="G17" s="142" t="s">
        <v>118</v>
      </c>
      <c r="H17" s="294" t="str">
        <f>IF('Development Details'!H87&gt;=1000,"greater of 400 and (10% × "&amp;TEXT('Development Details'!H87,"#,##0")&amp;")","")</f>
        <v/>
      </c>
      <c r="I17" s="294"/>
      <c r="J17" s="294"/>
      <c r="K17" s="294"/>
      <c r="L17" s="294"/>
      <c r="M17" s="294"/>
      <c r="P17" s="94"/>
    </row>
    <row r="18" spans="2:16" x14ac:dyDescent="0.25">
      <c r="B18" s="93"/>
      <c r="C18" s="148"/>
      <c r="D18" s="148"/>
      <c r="E18" s="148"/>
      <c r="F18" s="148"/>
      <c r="G18" s="142" t="s">
        <v>118</v>
      </c>
      <c r="H18" s="294" t="str">
        <f>IF(H17="","","greater of 400 and "&amp;TEXT(0.1*'Development Details'!H87,"#,##0"))</f>
        <v/>
      </c>
      <c r="I18" s="294"/>
      <c r="J18" s="294"/>
      <c r="K18" s="294"/>
      <c r="L18" s="294"/>
      <c r="M18" s="294"/>
      <c r="P18" s="94"/>
    </row>
    <row r="19" spans="2:16" x14ac:dyDescent="0.25">
      <c r="B19" s="93"/>
      <c r="C19" s="139"/>
      <c r="D19" s="139"/>
      <c r="E19" s="139"/>
      <c r="F19" s="139"/>
      <c r="G19" s="144" t="s">
        <v>118</v>
      </c>
      <c r="H19" s="295" t="str">
        <f>IF(H18="","",IF((0.1*'Development Details'!H87)&gt;400,TEXT(0.1*'Development Details'!H87,"#,##0"),400))</f>
        <v/>
      </c>
      <c r="I19" s="295"/>
      <c r="J19" s="295"/>
      <c r="K19" s="295"/>
      <c r="L19" s="295"/>
      <c r="M19" s="295"/>
      <c r="P19" s="94"/>
    </row>
    <row r="20" spans="2:16" x14ac:dyDescent="0.25">
      <c r="B20" s="93"/>
      <c r="P20" s="94"/>
    </row>
    <row r="21" spans="2:16" x14ac:dyDescent="0.25">
      <c r="B21" s="93"/>
      <c r="C21" t="s">
        <v>295</v>
      </c>
      <c r="I21" s="146"/>
      <c r="P21" s="94"/>
    </row>
    <row r="22" spans="2:16" x14ac:dyDescent="0.25">
      <c r="B22" s="93"/>
      <c r="P22" s="94"/>
    </row>
    <row r="23" spans="2:16" ht="16.8" x14ac:dyDescent="0.3">
      <c r="B23" s="93"/>
      <c r="C23" s="3" t="s">
        <v>296</v>
      </c>
      <c r="P23" s="94"/>
    </row>
    <row r="24" spans="2:16" x14ac:dyDescent="0.25">
      <c r="B24" s="93"/>
      <c r="P24" s="94"/>
    </row>
    <row r="25" spans="2:16" x14ac:dyDescent="0.25">
      <c r="B25" s="93"/>
      <c r="C25" s="119" t="s">
        <v>101</v>
      </c>
      <c r="P25" s="94"/>
    </row>
    <row r="26" spans="2:16" x14ac:dyDescent="0.25">
      <c r="B26" s="93"/>
      <c r="P26" s="94"/>
    </row>
    <row r="27" spans="2:16" x14ac:dyDescent="0.25">
      <c r="B27" s="93"/>
      <c r="C27" s="276" t="str">
        <f>IF(C7="No","",IF(I21="No","Yes", IF(I21="Yes","No",Inputs_still_required)))</f>
        <v/>
      </c>
      <c r="D27" s="276"/>
      <c r="E27" s="1" t="s">
        <v>103</v>
      </c>
      <c r="F27" s="139" t="str">
        <f>IF(C27="Yes", "Managed workspace floorpsace will not be provided", IF(C27="No","Managed workspace floorspace will be provided",""))</f>
        <v/>
      </c>
      <c r="G27" s="139"/>
      <c r="H27" s="139"/>
      <c r="I27" s="139"/>
      <c r="J27" s="139"/>
      <c r="P27" s="94"/>
    </row>
    <row r="28" spans="2:16" x14ac:dyDescent="0.25">
      <c r="B28" s="93"/>
      <c r="P28" s="94"/>
    </row>
    <row r="29" spans="2:16" x14ac:dyDescent="0.25">
      <c r="B29" s="93"/>
      <c r="C29" s="292" t="s">
        <v>292</v>
      </c>
      <c r="D29" s="292"/>
      <c r="E29" s="292"/>
      <c r="F29" s="292"/>
      <c r="G29" s="141" t="s">
        <v>118</v>
      </c>
      <c r="H29" s="292" t="s">
        <v>222</v>
      </c>
      <c r="I29" s="292"/>
      <c r="J29" s="292"/>
      <c r="L29" s="149" t="s">
        <v>370</v>
      </c>
      <c r="P29" s="94"/>
    </row>
    <row r="30" spans="2:16" x14ac:dyDescent="0.25">
      <c r="B30" s="93"/>
      <c r="C30" s="285"/>
      <c r="D30" s="285"/>
      <c r="E30" s="285"/>
      <c r="F30" s="285"/>
      <c r="G30" s="142" t="s">
        <v>118</v>
      </c>
      <c r="H30" s="285" t="str">
        <f>IF(C27="Yes","10% × "&amp;TEXT('Development Details'!H87,"#,##0"),"")</f>
        <v/>
      </c>
      <c r="I30" s="285"/>
      <c r="J30" s="285"/>
      <c r="P30" s="94"/>
    </row>
    <row r="31" spans="2:16" x14ac:dyDescent="0.25">
      <c r="B31" s="93"/>
      <c r="C31" s="276"/>
      <c r="D31" s="276"/>
      <c r="E31" s="276"/>
      <c r="F31" s="276"/>
      <c r="G31" s="144" t="s">
        <v>118</v>
      </c>
      <c r="H31" s="295" t="str">
        <f>IF(C27="Yes",0.1*'Development Details'!H87,"")</f>
        <v/>
      </c>
      <c r="I31" s="295"/>
      <c r="J31" s="295"/>
      <c r="P31" s="94"/>
    </row>
    <row r="32" spans="2:16" x14ac:dyDescent="0.25">
      <c r="B32" s="101"/>
      <c r="C32" s="102"/>
      <c r="D32" s="102"/>
      <c r="E32" s="102"/>
      <c r="F32" s="102"/>
      <c r="G32" s="102"/>
      <c r="H32" s="102"/>
      <c r="I32" s="102"/>
      <c r="J32" s="102"/>
      <c r="K32" s="102"/>
      <c r="L32" s="102"/>
      <c r="M32" s="102"/>
      <c r="N32" s="102"/>
      <c r="O32" s="102"/>
      <c r="P32" s="103"/>
    </row>
    <row r="34" spans="3:3" x14ac:dyDescent="0.25">
      <c r="C34" s="63" t="s">
        <v>213</v>
      </c>
    </row>
    <row r="47" spans="3:3" x14ac:dyDescent="0.25">
      <c r="C47" s="194"/>
    </row>
  </sheetData>
  <sheetProtection algorithmName="SHA-512" hashValue="VYA16EDj3Z94qNMi/WqCJV/Sdetr4LnMO3BKodpK2UL42UgIwhfQ+vx6f2Br/wu7XAFL00yueZxg3NIhLD5gaw==" saltValue="VbD9PQb7mVGtdgY6jrowlA==" spinCount="100000" sheet="1" selectLockedCells="1"/>
  <mergeCells count="15">
    <mergeCell ref="C30:F30"/>
    <mergeCell ref="C31:F31"/>
    <mergeCell ref="H29:J29"/>
    <mergeCell ref="H30:J30"/>
    <mergeCell ref="H31:J31"/>
    <mergeCell ref="E7:J7"/>
    <mergeCell ref="D12:J12"/>
    <mergeCell ref="C29:F29"/>
    <mergeCell ref="E9:J10"/>
    <mergeCell ref="C9:D10"/>
    <mergeCell ref="C27:D27"/>
    <mergeCell ref="H16:M16"/>
    <mergeCell ref="H17:M17"/>
    <mergeCell ref="H18:M18"/>
    <mergeCell ref="H19:M19"/>
  </mergeCells>
  <conditionalFormatting sqref="C7">
    <cfRule type="expression" dxfId="37" priority="12">
      <formula>$C$7="Yes"</formula>
    </cfRule>
  </conditionalFormatting>
  <conditionalFormatting sqref="E9">
    <cfRule type="expression" dxfId="36" priority="11">
      <formula>$C$7="Yes"</formula>
    </cfRule>
  </conditionalFormatting>
  <conditionalFormatting sqref="C31:J31">
    <cfRule type="expression" priority="8" stopIfTrue="1">
      <formula>$H$31=""</formula>
    </cfRule>
    <cfRule type="expression" dxfId="35" priority="9">
      <formula>$H$31&gt;0</formula>
    </cfRule>
  </conditionalFormatting>
  <conditionalFormatting sqref="C27:D27">
    <cfRule type="expression" dxfId="34" priority="4">
      <formula>$C$27="Yes"</formula>
    </cfRule>
  </conditionalFormatting>
  <conditionalFormatting sqref="C19:H19">
    <cfRule type="expression" priority="1" stopIfTrue="1">
      <formula>$H$19=""</formula>
    </cfRule>
    <cfRule type="expression" dxfId="33" priority="3">
      <formula>$H$19&gt;0</formula>
    </cfRule>
  </conditionalFormatting>
  <conditionalFormatting sqref="C19:M19">
    <cfRule type="expression" dxfId="32" priority="2" stopIfTrue="1">
      <formula>$I$21="No"</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700-000000000000}">
          <x14:formula1>
            <xm:f>'Lookup Yes and No'!$A$1:$A$2</xm:f>
          </x14:formula1>
          <xm:sqref>I21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B2:P57"/>
  <sheetViews>
    <sheetView workbookViewId="0">
      <selection activeCell="I11" sqref="I11"/>
    </sheetView>
  </sheetViews>
  <sheetFormatPr defaultRowHeight="13.2" x14ac:dyDescent="0.25"/>
  <cols>
    <col min="1" max="2" width="2.6640625" customWidth="1"/>
    <col min="16" max="16" width="2.6640625" customWidth="1"/>
  </cols>
  <sheetData>
    <row r="2" spans="2:16" x14ac:dyDescent="0.25">
      <c r="B2" s="90"/>
      <c r="C2" s="91"/>
      <c r="D2" s="91"/>
      <c r="E2" s="91"/>
      <c r="F2" s="91"/>
      <c r="G2" s="91"/>
      <c r="H2" s="91"/>
      <c r="I2" s="91"/>
      <c r="J2" s="91"/>
      <c r="K2" s="91"/>
      <c r="L2" s="91"/>
      <c r="M2" s="91"/>
      <c r="N2" s="91"/>
      <c r="O2" s="91"/>
      <c r="P2" s="92"/>
    </row>
    <row r="3" spans="2:16" ht="19.2" thickBot="1" x14ac:dyDescent="0.35">
      <c r="B3" s="95"/>
      <c r="C3" s="96" t="s">
        <v>371</v>
      </c>
      <c r="D3" s="96"/>
      <c r="E3" s="96"/>
      <c r="F3" s="96"/>
      <c r="G3" s="96"/>
      <c r="H3" s="96"/>
      <c r="I3" s="96"/>
      <c r="J3" s="96"/>
      <c r="K3" s="96"/>
      <c r="L3" s="96"/>
      <c r="M3" s="96"/>
      <c r="N3" s="96"/>
      <c r="O3" s="96"/>
      <c r="P3" s="97"/>
    </row>
    <row r="4" spans="2:16" ht="13.8" thickTop="1" x14ac:dyDescent="0.25">
      <c r="B4" s="93"/>
      <c r="P4" s="94"/>
    </row>
    <row r="5" spans="2:16" ht="16.8" x14ac:dyDescent="0.3">
      <c r="B5" s="93"/>
      <c r="C5" s="3" t="s">
        <v>101</v>
      </c>
      <c r="P5" s="94"/>
    </row>
    <row r="6" spans="2:16" x14ac:dyDescent="0.25">
      <c r="B6" s="93"/>
      <c r="P6" s="94"/>
    </row>
    <row r="7" spans="2:16" x14ac:dyDescent="0.25">
      <c r="B7" s="93"/>
      <c r="C7" s="139" t="str">
        <f>IF(OR('Development Details'!M36&gt;=100,'Development Details'!E71&gt;=10000),"Yes","No")</f>
        <v>No</v>
      </c>
      <c r="D7" s="1" t="s">
        <v>103</v>
      </c>
      <c r="E7" s="276" t="str">
        <f>IF(C7="Yes","The development provides: 100 or more dwellings; 10,000m² or more of non-residential floorspace; or both","The development provides less than 100 dwellings and less than 10,000m² of non-residential floorspace")</f>
        <v>The development provides less than 100 dwellings and less than 10,000m² of non-residential floorspace</v>
      </c>
      <c r="F7" s="276"/>
      <c r="G7" s="276"/>
      <c r="H7" s="276"/>
      <c r="I7" s="276"/>
      <c r="J7" s="276"/>
      <c r="K7" s="276"/>
      <c r="L7" s="276"/>
      <c r="M7" s="276"/>
      <c r="N7" s="276"/>
      <c r="P7" s="94"/>
    </row>
    <row r="8" spans="2:16" x14ac:dyDescent="0.25">
      <c r="B8" s="93"/>
      <c r="P8" s="94"/>
    </row>
    <row r="9" spans="2:16" ht="16.8" x14ac:dyDescent="0.3">
      <c r="B9" s="93"/>
      <c r="C9" s="3" t="s">
        <v>124</v>
      </c>
      <c r="P9" s="94"/>
    </row>
    <row r="10" spans="2:16" x14ac:dyDescent="0.25">
      <c r="B10" s="93"/>
      <c r="P10" s="94"/>
    </row>
    <row r="11" spans="2:16" x14ac:dyDescent="0.25">
      <c r="B11" s="93"/>
      <c r="C11" t="s">
        <v>372</v>
      </c>
      <c r="I11" s="146"/>
      <c r="P11" s="94"/>
    </row>
    <row r="12" spans="2:16" x14ac:dyDescent="0.25">
      <c r="B12" s="93"/>
      <c r="P12" s="94"/>
    </row>
    <row r="13" spans="2:16" ht="16.8" x14ac:dyDescent="0.3">
      <c r="B13" s="93"/>
      <c r="C13" s="297" t="s">
        <v>117</v>
      </c>
      <c r="D13" s="297"/>
      <c r="E13" s="297"/>
      <c r="F13" s="297"/>
      <c r="P13" s="94"/>
    </row>
    <row r="14" spans="2:16" x14ac:dyDescent="0.25">
      <c r="B14" s="93"/>
      <c r="P14" s="94"/>
    </row>
    <row r="15" spans="2:16" ht="12.75" customHeight="1" x14ac:dyDescent="0.25">
      <c r="B15" s="93"/>
      <c r="C15" s="249" t="s">
        <v>125</v>
      </c>
      <c r="D15" s="249"/>
      <c r="E15" s="296" t="str">
        <f>IF(C7="No","",IF(I11="No","Yes",IF(I11="Yes", "No",Inputs_still_required)))</f>
        <v/>
      </c>
      <c r="F15" s="279" t="s">
        <v>103</v>
      </c>
      <c r="G15" s="293" t="str">
        <f>IF(E15="Yes","An Arts and Culture Action Plan is not being provided",IF(E15="No","An Arts and Culture Action Plan is being provided",""))</f>
        <v/>
      </c>
      <c r="H15" s="293"/>
      <c r="I15" s="293"/>
      <c r="P15" s="94"/>
    </row>
    <row r="16" spans="2:16" x14ac:dyDescent="0.25">
      <c r="B16" s="93"/>
      <c r="C16" s="249"/>
      <c r="D16" s="249"/>
      <c r="E16" s="296"/>
      <c r="F16" s="279"/>
      <c r="G16" s="293"/>
      <c r="H16" s="293"/>
      <c r="I16" s="293"/>
      <c r="P16" s="94"/>
    </row>
    <row r="17" spans="2:16" x14ac:dyDescent="0.25">
      <c r="B17" s="93"/>
      <c r="P17" s="94"/>
    </row>
    <row r="18" spans="2:16" x14ac:dyDescent="0.25">
      <c r="B18" s="93"/>
      <c r="C18" s="119" t="s">
        <v>414</v>
      </c>
      <c r="P18" s="94"/>
    </row>
    <row r="19" spans="2:16" x14ac:dyDescent="0.25">
      <c r="B19" s="93"/>
      <c r="P19" s="94"/>
    </row>
    <row r="20" spans="2:16" ht="12.75" customHeight="1" x14ac:dyDescent="0.25">
      <c r="B20" s="93"/>
      <c r="C20" s="197" t="s">
        <v>419</v>
      </c>
      <c r="D20" s="197"/>
      <c r="E20" s="197"/>
      <c r="F20" s="179" t="s">
        <v>118</v>
      </c>
      <c r="G20" s="290" t="s">
        <v>416</v>
      </c>
      <c r="H20" s="290"/>
      <c r="I20" s="290"/>
      <c r="J20" s="290"/>
      <c r="K20" s="290"/>
      <c r="L20" s="290"/>
      <c r="P20" s="94"/>
    </row>
    <row r="21" spans="2:16" x14ac:dyDescent="0.25">
      <c r="B21" s="93"/>
      <c r="C21" s="148"/>
      <c r="D21" s="148"/>
      <c r="E21" s="148"/>
      <c r="F21" s="142" t="s">
        <v>118</v>
      </c>
      <c r="G21" s="294" t="str">
        <f>IF(OR(C7="No",E15="No",'Development Details'!M36&lt;100),"",IF(I11="No","£400 × "&amp;TEXT('Development Details'!M36,"#,##0"),Inputs_still_required))</f>
        <v/>
      </c>
      <c r="H21" s="294"/>
      <c r="I21" s="294"/>
      <c r="J21" s="294"/>
      <c r="K21" s="294"/>
      <c r="L21" s="294"/>
      <c r="P21" s="94"/>
    </row>
    <row r="22" spans="2:16" x14ac:dyDescent="0.25">
      <c r="B22" s="93"/>
      <c r="C22" s="139"/>
      <c r="D22" s="139"/>
      <c r="E22" s="139"/>
      <c r="F22" s="144" t="s">
        <v>118</v>
      </c>
      <c r="G22" s="291">
        <f>IF(OR(C7="No",E15="No",'Development Details'!M36&lt;100),0,IF(I11="No",(400*'Development Details'!M36),Inputs_still_required))</f>
        <v>0</v>
      </c>
      <c r="H22" s="291"/>
      <c r="I22" s="291"/>
      <c r="J22" s="291"/>
      <c r="K22" s="291"/>
      <c r="L22" s="291"/>
      <c r="P22" s="94"/>
    </row>
    <row r="23" spans="2:16" x14ac:dyDescent="0.25">
      <c r="B23" s="93"/>
      <c r="P23" s="94"/>
    </row>
    <row r="24" spans="2:16" ht="12.75" customHeight="1" x14ac:dyDescent="0.25">
      <c r="B24" s="93"/>
      <c r="C24" s="197" t="s">
        <v>420</v>
      </c>
      <c r="D24" s="197"/>
      <c r="E24" s="197"/>
      <c r="F24" s="179" t="s">
        <v>118</v>
      </c>
      <c r="G24" s="290" t="s">
        <v>417</v>
      </c>
      <c r="H24" s="290"/>
      <c r="I24" s="290"/>
      <c r="J24" s="290"/>
      <c r="K24" s="290"/>
      <c r="L24" s="290"/>
      <c r="P24" s="94"/>
    </row>
    <row r="25" spans="2:16" x14ac:dyDescent="0.25">
      <c r="B25" s="93"/>
      <c r="C25" s="148"/>
      <c r="D25" s="148"/>
      <c r="E25" s="148"/>
      <c r="F25" s="142" t="s">
        <v>118</v>
      </c>
      <c r="G25" s="294" t="str">
        <f>IF(OR(C7="No",E15="No",'Development Details'!I95&lt;10000),"",IF(E15="Yes","£20,000 × ("&amp;TEXT('Development Details'!I95,"#,##0")&amp;" / 10,000))",Inputs_still_required))</f>
        <v/>
      </c>
      <c r="H25" s="294"/>
      <c r="I25" s="294"/>
      <c r="J25" s="294"/>
      <c r="K25" s="294"/>
      <c r="L25" s="294"/>
      <c r="P25" s="94"/>
    </row>
    <row r="26" spans="2:16" x14ac:dyDescent="0.25">
      <c r="B26" s="93"/>
      <c r="C26" s="139"/>
      <c r="D26" s="139"/>
      <c r="E26" s="139"/>
      <c r="F26" s="144" t="s">
        <v>118</v>
      </c>
      <c r="G26" s="291">
        <f>IF(OR(C7="No",E15="No",'Development Details'!I95&lt;10000),0,IF(E15="Yes",(20000*'Development Details'!I95/10000),Inputs_still_required))</f>
        <v>0</v>
      </c>
      <c r="H26" s="291"/>
      <c r="I26" s="291"/>
      <c r="J26" s="291"/>
      <c r="K26" s="291"/>
      <c r="L26" s="291"/>
      <c r="P26" s="94"/>
    </row>
    <row r="27" spans="2:16" x14ac:dyDescent="0.25">
      <c r="B27" s="93"/>
      <c r="P27" s="94"/>
    </row>
    <row r="28" spans="2:16" ht="12.75" customHeight="1" x14ac:dyDescent="0.25">
      <c r="B28" s="93"/>
      <c r="C28" s="197" t="s">
        <v>421</v>
      </c>
      <c r="D28" s="197"/>
      <c r="E28" s="197"/>
      <c r="F28" s="179" t="s">
        <v>118</v>
      </c>
      <c r="G28" s="290" t="s">
        <v>418</v>
      </c>
      <c r="H28" s="290"/>
      <c r="I28" s="290"/>
      <c r="J28" s="290"/>
      <c r="K28" s="290"/>
      <c r="L28" s="290"/>
      <c r="P28" s="94"/>
    </row>
    <row r="29" spans="2:16" x14ac:dyDescent="0.25">
      <c r="B29" s="93"/>
      <c r="C29" s="148"/>
      <c r="D29" s="148"/>
      <c r="E29" s="148"/>
      <c r="F29" s="142" t="s">
        <v>118</v>
      </c>
      <c r="G29" s="294" t="str">
        <f>IF(OR(C7="No",E15="No"),"",IF(E15="Yes",TEXT(G22,"£#,##0")&amp;" + "&amp;TEXT(G26,"£#,##0"),Inputs_still_required))</f>
        <v/>
      </c>
      <c r="H29" s="294"/>
      <c r="I29" s="294"/>
      <c r="J29" s="294"/>
      <c r="K29" s="294"/>
      <c r="L29" s="294"/>
      <c r="P29" s="94"/>
    </row>
    <row r="30" spans="2:16" x14ac:dyDescent="0.25">
      <c r="B30" s="93"/>
      <c r="C30" s="139"/>
      <c r="D30" s="139"/>
      <c r="E30" s="139"/>
      <c r="F30" s="144" t="s">
        <v>118</v>
      </c>
      <c r="G30" s="291" t="str">
        <f>IF(OR(C7="No",E15="No"),"",IF(E15="Yes",G22+G26,Inputs_still_required))</f>
        <v/>
      </c>
      <c r="H30" s="291"/>
      <c r="I30" s="291"/>
      <c r="J30" s="291"/>
      <c r="K30" s="291"/>
      <c r="L30" s="291"/>
      <c r="P30" s="94"/>
    </row>
    <row r="31" spans="2:16" x14ac:dyDescent="0.25">
      <c r="B31" s="93"/>
      <c r="P31" s="94"/>
    </row>
    <row r="32" spans="2:16" x14ac:dyDescent="0.25">
      <c r="B32" s="93"/>
      <c r="C32" s="119" t="s">
        <v>224</v>
      </c>
      <c r="P32" s="94"/>
    </row>
    <row r="33" spans="2:16" x14ac:dyDescent="0.25">
      <c r="B33" s="93"/>
      <c r="P33" s="94"/>
    </row>
    <row r="34" spans="2:16" x14ac:dyDescent="0.25">
      <c r="B34" s="93"/>
      <c r="C34" t="s">
        <v>225</v>
      </c>
      <c r="H34" s="146"/>
      <c r="P34" s="94"/>
    </row>
    <row r="35" spans="2:16" x14ac:dyDescent="0.25">
      <c r="B35" s="93"/>
      <c r="P35" s="94"/>
    </row>
    <row r="36" spans="2:16" ht="12.75" customHeight="1" x14ac:dyDescent="0.25">
      <c r="B36" s="93"/>
      <c r="C36" s="290" t="s">
        <v>419</v>
      </c>
      <c r="D36" s="290"/>
      <c r="E36" s="290"/>
      <c r="F36" s="179" t="s">
        <v>118</v>
      </c>
      <c r="G36" s="290" t="s">
        <v>422</v>
      </c>
      <c r="H36" s="290"/>
      <c r="I36" s="290"/>
      <c r="J36" s="290"/>
      <c r="K36" s="290"/>
      <c r="L36" s="290"/>
      <c r="P36" s="94"/>
    </row>
    <row r="37" spans="2:16" x14ac:dyDescent="0.25">
      <c r="B37" s="93"/>
      <c r="C37" s="294"/>
      <c r="D37" s="294"/>
      <c r="E37" s="294"/>
      <c r="F37" s="142" t="s">
        <v>118</v>
      </c>
      <c r="G37" s="294" t="str">
        <f>IF(OR(C7="No",E15="No",H34="No",'Development Details'!M36&lt;100), "",IF(H34="Yes","£600 × "&amp;TEXT('Development Details'!M36,"#,##0"),Inputs_still_required))</f>
        <v/>
      </c>
      <c r="H37" s="294"/>
      <c r="I37" s="294"/>
      <c r="J37" s="294"/>
      <c r="K37" s="294"/>
      <c r="L37" s="294"/>
      <c r="P37" s="94"/>
    </row>
    <row r="38" spans="2:16" x14ac:dyDescent="0.25">
      <c r="B38" s="93"/>
      <c r="C38" s="276"/>
      <c r="D38" s="276"/>
      <c r="E38" s="276"/>
      <c r="F38" s="144" t="s">
        <v>118</v>
      </c>
      <c r="G38" s="291">
        <f>IF(OR(C7="No",E15="No",H34="No",'Development Details'!M36&lt;100), 0,IF(H34="Yes",600*'Development Details'!M36,Inputs_still_required))</f>
        <v>0</v>
      </c>
      <c r="H38" s="291"/>
      <c r="I38" s="291"/>
      <c r="J38" s="291"/>
      <c r="K38" s="291"/>
      <c r="L38" s="291"/>
      <c r="P38" s="94"/>
    </row>
    <row r="39" spans="2:16" x14ac:dyDescent="0.25">
      <c r="B39" s="93"/>
      <c r="P39" s="94"/>
    </row>
    <row r="40" spans="2:16" ht="12.75" customHeight="1" x14ac:dyDescent="0.25">
      <c r="B40" s="93"/>
      <c r="C40" s="290" t="s">
        <v>420</v>
      </c>
      <c r="D40" s="290"/>
      <c r="E40" s="290"/>
      <c r="F40" s="179" t="s">
        <v>118</v>
      </c>
      <c r="G40" s="290" t="s">
        <v>417</v>
      </c>
      <c r="H40" s="290"/>
      <c r="I40" s="290"/>
      <c r="J40" s="290"/>
      <c r="K40" s="290"/>
      <c r="L40" s="290"/>
      <c r="P40" s="94"/>
    </row>
    <row r="41" spans="2:16" x14ac:dyDescent="0.25">
      <c r="B41" s="93"/>
      <c r="C41" s="294"/>
      <c r="D41" s="294"/>
      <c r="E41" s="294"/>
      <c r="F41" s="142" t="s">
        <v>118</v>
      </c>
      <c r="G41" s="294" t="str">
        <f>IF(OR(C7="No",E15="No",H34="No",'Development Details'!I95&lt;10000), "",IF(H34="Yes","£20,000 × ("&amp;TEXT('Development Details'!I95,"#,##0")&amp;" / 10,000))",Inputs_still_required))</f>
        <v/>
      </c>
      <c r="H41" s="294"/>
      <c r="I41" s="294"/>
      <c r="J41" s="294"/>
      <c r="K41" s="294"/>
      <c r="L41" s="294"/>
      <c r="P41" s="94"/>
    </row>
    <row r="42" spans="2:16" x14ac:dyDescent="0.25">
      <c r="B42" s="93"/>
      <c r="C42" s="276"/>
      <c r="D42" s="276"/>
      <c r="E42" s="276"/>
      <c r="F42" s="144" t="s">
        <v>118</v>
      </c>
      <c r="G42" s="291">
        <f>IF(OR(C7="No",E15="No",H34="No",'Development Details'!I95&lt;10000), 0,IF(H34="Yes",20000*'Development Details'!I95/10000,Inputs_still_required))</f>
        <v>0</v>
      </c>
      <c r="H42" s="291"/>
      <c r="I42" s="291"/>
      <c r="J42" s="291"/>
      <c r="K42" s="291"/>
      <c r="L42" s="291"/>
      <c r="P42" s="94"/>
    </row>
    <row r="43" spans="2:16" x14ac:dyDescent="0.25">
      <c r="B43" s="93"/>
      <c r="P43" s="94"/>
    </row>
    <row r="44" spans="2:16" ht="12.75" customHeight="1" x14ac:dyDescent="0.25">
      <c r="B44" s="93"/>
      <c r="C44" s="290" t="s">
        <v>421</v>
      </c>
      <c r="D44" s="290"/>
      <c r="E44" s="290"/>
      <c r="F44" s="179" t="s">
        <v>118</v>
      </c>
      <c r="G44" s="290" t="s">
        <v>418</v>
      </c>
      <c r="H44" s="290"/>
      <c r="I44" s="290"/>
      <c r="J44" s="290"/>
      <c r="K44" s="290"/>
      <c r="L44" s="290"/>
      <c r="P44" s="94"/>
    </row>
    <row r="45" spans="2:16" x14ac:dyDescent="0.25">
      <c r="B45" s="93"/>
      <c r="C45" s="294"/>
      <c r="D45" s="294"/>
      <c r="E45" s="294"/>
      <c r="F45" s="142" t="s">
        <v>118</v>
      </c>
      <c r="G45" s="294" t="str">
        <f>IF(OR(C7="No",E15="No",H34="No"), "",IF(H34="Yes",(TEXT(G38,"£#,##0")&amp;" + "&amp;TEXT(G42,"£#,##0")),Inputs_still_required))</f>
        <v/>
      </c>
      <c r="H45" s="294"/>
      <c r="I45" s="294"/>
      <c r="J45" s="294"/>
      <c r="K45" s="294"/>
      <c r="L45" s="294"/>
      <c r="P45" s="94"/>
    </row>
    <row r="46" spans="2:16" ht="12.75" customHeight="1" x14ac:dyDescent="0.25">
      <c r="B46" s="93"/>
      <c r="C46" s="276"/>
      <c r="D46" s="276"/>
      <c r="E46" s="276"/>
      <c r="F46" s="144" t="s">
        <v>118</v>
      </c>
      <c r="G46" s="291" t="str">
        <f>IF(OR(C7="No",E15="No",H34="No"),"",IF(H34="Yes",(G38+G42),Inputs_still_required))</f>
        <v/>
      </c>
      <c r="H46" s="291"/>
      <c r="I46" s="291"/>
      <c r="J46" s="291"/>
      <c r="K46" s="291"/>
      <c r="L46" s="291"/>
      <c r="P46" s="94"/>
    </row>
    <row r="47" spans="2:16" x14ac:dyDescent="0.25">
      <c r="B47" s="101"/>
      <c r="C47" s="102"/>
      <c r="D47" s="102"/>
      <c r="E47" s="102"/>
      <c r="F47" s="102"/>
      <c r="G47" s="102"/>
      <c r="H47" s="102"/>
      <c r="I47" s="102"/>
      <c r="J47" s="102"/>
      <c r="K47" s="102"/>
      <c r="L47" s="102"/>
      <c r="M47" s="102"/>
      <c r="N47" s="102"/>
      <c r="O47" s="102"/>
      <c r="P47" s="103"/>
    </row>
    <row r="49" spans="3:3" x14ac:dyDescent="0.25">
      <c r="C49" s="63" t="s">
        <v>213</v>
      </c>
    </row>
    <row r="57" spans="3:3" x14ac:dyDescent="0.25">
      <c r="C57" s="194"/>
    </row>
  </sheetData>
  <sheetProtection algorithmName="SHA-512" hashValue="gJygpB/bhNFR8u/bcbyt0f2BjN6c3cwRzf0SyKZzWB9rfTdwHrvBo92SWhYBhMDSIhBYUbxLCoK11ZAWGolj8g==" saltValue="nE3xKqQrjuwOQURvzjG3Yg==" spinCount="100000" sheet="1" selectLockedCells="1"/>
  <mergeCells count="33">
    <mergeCell ref="G26:L26"/>
    <mergeCell ref="G42:L42"/>
    <mergeCell ref="G37:L37"/>
    <mergeCell ref="G38:L38"/>
    <mergeCell ref="C13:F13"/>
    <mergeCell ref="G29:L29"/>
    <mergeCell ref="G30:L30"/>
    <mergeCell ref="G20:L20"/>
    <mergeCell ref="G21:L21"/>
    <mergeCell ref="G22:L22"/>
    <mergeCell ref="G24:L24"/>
    <mergeCell ref="G25:L25"/>
    <mergeCell ref="G36:L36"/>
    <mergeCell ref="G28:L28"/>
    <mergeCell ref="E7:N7"/>
    <mergeCell ref="E15:E16"/>
    <mergeCell ref="C15:D16"/>
    <mergeCell ref="F15:F16"/>
    <mergeCell ref="G15:I16"/>
    <mergeCell ref="G46:L46"/>
    <mergeCell ref="C36:E36"/>
    <mergeCell ref="C44:E44"/>
    <mergeCell ref="C45:E45"/>
    <mergeCell ref="C46:E46"/>
    <mergeCell ref="C40:E40"/>
    <mergeCell ref="C41:E41"/>
    <mergeCell ref="C42:E42"/>
    <mergeCell ref="C37:E37"/>
    <mergeCell ref="C38:E38"/>
    <mergeCell ref="G44:L44"/>
    <mergeCell ref="G45:L45"/>
    <mergeCell ref="G40:L40"/>
    <mergeCell ref="G41:L41"/>
  </mergeCells>
  <conditionalFormatting sqref="C7">
    <cfRule type="expression" dxfId="31" priority="16">
      <formula>$C$7="Yes"</formula>
    </cfRule>
  </conditionalFormatting>
  <conditionalFormatting sqref="E15">
    <cfRule type="expression" dxfId="30" priority="15">
      <formula>$E$15="Yes"</formula>
    </cfRule>
  </conditionalFormatting>
  <conditionalFormatting sqref="C22:G22 C26:G26 C30:G30">
    <cfRule type="expression" priority="32" stopIfTrue="1">
      <formula>OR($G$26="",$G$26=Inputs_still_required)</formula>
    </cfRule>
    <cfRule type="expression" dxfId="29" priority="33">
      <formula>$G$26&gt;0</formula>
    </cfRule>
  </conditionalFormatting>
  <conditionalFormatting sqref="C38 C42 C46 F46:G46 F42:G42 F38:G38">
    <cfRule type="expression" priority="34" stopIfTrue="1">
      <formula>OR($G$46="",$G$46=Inputs_still_required)</formula>
    </cfRule>
    <cfRule type="expression" dxfId="28" priority="35">
      <formula>$G$46&gt;0</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800-000000000000}">
          <x14:formula1>
            <xm:f>'Lookup Yes and No'!$A$1:$A$2</xm:f>
          </x14:formula1>
          <xm:sqref>I11 H34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A16C151AA8DC4991ED30E629001D89" ma:contentTypeVersion="955" ma:contentTypeDescription="Create a new document." ma:contentTypeScope="" ma:versionID="4a3b9fe5c9b6b94a79108e1df8fb2a15">
  <xsd:schema xmlns:xsd="http://www.w3.org/2001/XMLSchema" xmlns:xs="http://www.w3.org/2001/XMLSchema" xmlns:p="http://schemas.microsoft.com/office/2006/metadata/properties" xmlns:ns1="http://schemas.microsoft.com/sharepoint/v3" xmlns:ns2="dd432206-5341-4a9e-8bc1-0dd52a14e581" xmlns:ns3="7be4f7ab-f764-4276-a5ed-ac707042befe" targetNamespace="http://schemas.microsoft.com/office/2006/metadata/properties" ma:root="true" ma:fieldsID="61ac6399f763f7a3205977d31d09fdc7" ns1:_="" ns2:_="" ns3:_="">
    <xsd:import namespace="http://schemas.microsoft.com/sharepoint/v3"/>
    <xsd:import namespace="dd432206-5341-4a9e-8bc1-0dd52a14e581"/>
    <xsd:import namespace="7be4f7ab-f764-4276-a5ed-ac707042be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1:_ip_UnifiedCompliancePolicyProperties" minOccurs="0"/>
                <xsd:element ref="ns1:_ip_UnifiedCompliancePolicyUIAction" minOccurs="0"/>
                <xsd:element ref="ns3:_dlc_DocId" minOccurs="0"/>
                <xsd:element ref="ns3:_dlc_DocIdUrl" minOccurs="0"/>
                <xsd:element ref="ns3:_dlc_DocIdPersistId" minOccurs="0"/>
                <xsd:element ref="ns2:Date" minOccurs="0"/>
                <xsd:element ref="ns2:Date_" minOccurs="0"/>
                <xsd:element ref="ns2:lcf76f155ced4ddcb4097134ff3c332f" minOccurs="0"/>
                <xsd:element ref="ns3:TaxCatchAll" minOccurs="0"/>
                <xsd:element ref="ns2: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432206-5341-4a9e-8bc1-0dd52a14e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Date" ma:index="25" nillable="true" ma:displayName="Date" ma:format="DateOnly" ma:internalName="Date">
      <xsd:simpleType>
        <xsd:restriction base="dms:DateTime"/>
      </xsd:simpleType>
    </xsd:element>
    <xsd:element name="Date_" ma:index="26" nillable="true" ma:displayName="Date_" ma:format="DateOnly" ma:internalName="Date_">
      <xsd:simpleType>
        <xsd:restriction base="dms:DateTim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element name="Location" ma:index="30" nillable="true" ma:displayName="Location " ma:description="garages R/O 8 Atbara Road Teddington" ma:format="Dropdown" ma:internalName="Location">
      <xsd:simpleType>
        <xsd:restriction base="dms:Note">
          <xsd:maxLength value="25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4f7ab-f764-4276-a5ed-ac707042bef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07fed481-6ca6-4bd4-b57e-4b60ca012fca}" ma:internalName="TaxCatchAll" ma:showField="CatchAllData" ma:web="7be4f7ab-f764-4276-a5ed-ac707042be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7be4f7ab-f764-4276-a5ed-ac707042befe">ECSSTPIPO-485950255-105341</_dlc_DocId>
    <_dlc_DocIdUrl xmlns="7be4f7ab-f764-4276-a5ed-ac707042befe">
      <Url>https://richmondandwandsworth.sharepoint.com/sites/InfoPlanObs/_layouts/15/DocIdRedir.aspx?ID=ECSSTPIPO-485950255-105341</Url>
      <Description>ECSSTPIPO-485950255-105341</Description>
    </_dlc_DocIdUrl>
    <Date_ xmlns="dd432206-5341-4a9e-8bc1-0dd52a14e581" xsi:nil="true"/>
    <Date xmlns="dd432206-5341-4a9e-8bc1-0dd52a14e581" xsi:nil="true"/>
    <lcf76f155ced4ddcb4097134ff3c332f xmlns="dd432206-5341-4a9e-8bc1-0dd52a14e581">
      <Terms xmlns="http://schemas.microsoft.com/office/infopath/2007/PartnerControls"/>
    </lcf76f155ced4ddcb4097134ff3c332f>
    <TaxCatchAll xmlns="7be4f7ab-f764-4276-a5ed-ac707042befe" xsi:nil="true"/>
    <Location xmlns="dd432206-5341-4a9e-8bc1-0dd52a14e581"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880274-DC67-4F32-A33E-7B2145FAE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432206-5341-4a9e-8bc1-0dd52a14e581"/>
    <ds:schemaRef ds:uri="7be4f7ab-f764-4276-a5ed-ac707042b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9C6988-39D7-4AE6-9012-F875E6909A79}">
  <ds:schemaRefs>
    <ds:schemaRef ds:uri="http://schemas.microsoft.com/sharepoint/v3/contenttype/forms"/>
  </ds:schemaRefs>
</ds:datastoreItem>
</file>

<file path=customXml/itemProps3.xml><?xml version="1.0" encoding="utf-8"?>
<ds:datastoreItem xmlns:ds="http://schemas.openxmlformats.org/officeDocument/2006/customXml" ds:itemID="{7E3F7896-02FB-4D33-8ABF-A1DF610F8C10}">
  <ds:schemaRefs>
    <ds:schemaRef ds:uri="http://schemas.microsoft.com/sharepoint/v3"/>
    <ds:schemaRef ds:uri="http://purl.org/dc/terms/"/>
    <ds:schemaRef ds:uri="http://schemas.openxmlformats.org/package/2006/metadata/core-properties"/>
    <ds:schemaRef ds:uri="7be4f7ab-f764-4276-a5ed-ac707042befe"/>
    <ds:schemaRef ds:uri="http://schemas.microsoft.com/office/2006/documentManagement/types"/>
    <ds:schemaRef ds:uri="http://schemas.microsoft.com/office/infopath/2007/PartnerControls"/>
    <ds:schemaRef ds:uri="dd432206-5341-4a9e-8bc1-0dd52a14e581"/>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B0706E04-219D-44AB-A89F-3CFD918881E4}">
  <ds:schemaRefs>
    <ds:schemaRef ds:uri="http://schemas.microsoft.com/sharepoint/events"/>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Contents</vt:lpstr>
      <vt:lpstr>Instructions</vt:lpstr>
      <vt:lpstr>Application Details</vt:lpstr>
      <vt:lpstr>Development Details</vt:lpstr>
      <vt:lpstr>A</vt:lpstr>
      <vt:lpstr>B</vt:lpstr>
      <vt:lpstr>C</vt:lpstr>
      <vt:lpstr>D</vt:lpstr>
      <vt:lpstr>E</vt:lpstr>
      <vt:lpstr>F</vt:lpstr>
      <vt:lpstr>G</vt:lpstr>
      <vt:lpstr>H</vt:lpstr>
      <vt:lpstr>I</vt:lpstr>
      <vt:lpstr>J</vt:lpstr>
      <vt:lpstr>K</vt:lpstr>
      <vt:lpstr>Requirements Summary</vt:lpstr>
      <vt:lpstr>Lookup Development Size</vt:lpstr>
      <vt:lpstr>Lookup Predominant Use</vt:lpstr>
      <vt:lpstr>Lookup Yes and No</vt:lpstr>
      <vt:lpstr>Population Development Matrix</vt:lpstr>
      <vt:lpstr>Population Yield</vt:lpstr>
      <vt:lpstr>Population 2004 Yield</vt:lpstr>
      <vt:lpstr>Population 2007 Yield</vt:lpstr>
      <vt:lpstr>Standard Messages</vt:lpstr>
      <vt:lpstr>Inputs_still_required</vt:lpstr>
      <vt:lpstr>No_requirement</vt:lpstr>
      <vt:lpstr>No_requirement_in_document</vt:lpstr>
      <vt:lpstr>Not_included_in_calculator</vt:lpstr>
      <vt:lpstr>Not_included_in_summary</vt:lpstr>
      <vt:lpstr>A!Print_Area</vt:lpstr>
      <vt:lpstr>'Application Details'!Print_Area</vt:lpstr>
      <vt:lpstr>B!Print_Area</vt:lpstr>
      <vt:lpstr>'C'!Print_Area</vt:lpstr>
      <vt:lpstr>Contents!Print_Area</vt:lpstr>
      <vt:lpstr>D!Print_Area</vt:lpstr>
      <vt:lpstr>'Development Details'!Print_Area</vt:lpstr>
      <vt:lpstr>E!Print_Area</vt:lpstr>
      <vt:lpstr>F!Print_Area</vt:lpstr>
      <vt:lpstr>G!Print_Area</vt:lpstr>
      <vt:lpstr>H!Print_Area</vt:lpstr>
      <vt:lpstr>I!Print_Area</vt:lpstr>
      <vt:lpstr>Instructions!Print_Area</vt:lpstr>
      <vt:lpstr>J!Print_Area</vt:lpstr>
      <vt:lpstr>K!Print_Area</vt:lpstr>
      <vt:lpstr>'Population Development Matrix'!Print_Area</vt:lpstr>
      <vt:lpstr>'Population Yield'!Print_Area</vt:lpstr>
      <vt:lpstr>'Requirements Summary'!Print_Area</vt:lpstr>
      <vt:lpstr>Contents!Print_Titles</vt:lpstr>
      <vt:lpstr>'Requirements Summary'!Print_Titles</vt:lpstr>
    </vt:vector>
  </TitlesOfParts>
  <Company>Wandsworth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Clearwater, Patrick</dc:creator>
  <cp:lastModifiedBy>Beatriz Moreno</cp:lastModifiedBy>
  <cp:lastPrinted>2018-10-30T12:14:51Z</cp:lastPrinted>
  <dcterms:created xsi:type="dcterms:W3CDTF">2018-08-30T09:53:52Z</dcterms:created>
  <dcterms:modified xsi:type="dcterms:W3CDTF">2023-03-31T13:56:41Z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0x01010002A16C151AA8DC4991ED30E629001D89</vt:lpwstr>
  </property>
  <property fmtid="{D5CDD505-2E9C-101B-9397-08002B2CF9AE}" pid="3" name="Order">
    <vt:r8>100</vt:r8>
  </property>
  <property fmtid="{D5CDD505-2E9C-101B-9397-08002B2CF9AE}" pid="4" name="_dlc_DocIdItemGuid">
    <vt:lpwstr>614c81d2-e7be-4a54-97b6-8823647aed52</vt:lpwstr>
  </property>
  <property fmtid="{D5CDD505-2E9C-101B-9397-08002B2CF9AE}" pid="5" name="MSIP_Label_763da656-5c75-4f6d-9461-4a3ce9a537cc_Enabled">
    <vt:lpwstr>true</vt:lpwstr>
  </property>
  <property fmtid="{D5CDD505-2E9C-101B-9397-08002B2CF9AE}" pid="6" name="MSIP_Label_763da656-5c75-4f6d-9461-4a3ce9a537cc_SetDate">
    <vt:lpwstr>2021-04-09T10:35:44Z</vt:lpwstr>
  </property>
  <property fmtid="{D5CDD505-2E9C-101B-9397-08002B2CF9AE}" pid="7" name="MSIP_Label_763da656-5c75-4f6d-9461-4a3ce9a537cc_Method">
    <vt:lpwstr>Standard</vt:lpwstr>
  </property>
  <property fmtid="{D5CDD505-2E9C-101B-9397-08002B2CF9AE}" pid="8" name="MSIP_Label_763da656-5c75-4f6d-9461-4a3ce9a537cc_Name">
    <vt:lpwstr>763da656-5c75-4f6d-9461-4a3ce9a537cc</vt:lpwstr>
  </property>
  <property fmtid="{D5CDD505-2E9C-101B-9397-08002B2CF9AE}" pid="9" name="MSIP_Label_763da656-5c75-4f6d-9461-4a3ce9a537cc_SiteId">
    <vt:lpwstr>d9d3f5ac-f803-49be-949f-14a7074d74a7</vt:lpwstr>
  </property>
  <property fmtid="{D5CDD505-2E9C-101B-9397-08002B2CF9AE}" pid="10" name="MSIP_Label_763da656-5c75-4f6d-9461-4a3ce9a537cc_ActionId">
    <vt:lpwstr>7aea3ab4-73e7-4211-b3a5-8662ee8eaede</vt:lpwstr>
  </property>
  <property fmtid="{D5CDD505-2E9C-101B-9397-08002B2CF9AE}" pid="11" name="MSIP_Label_763da656-5c75-4f6d-9461-4a3ce9a537cc_ContentBits">
    <vt:lpwstr>1</vt:lpwstr>
  </property>
</Properties>
</file>