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Index" sheetId="1" r:id="rId1"/>
    <sheet name="Language" sheetId="2" r:id="rId2"/>
    <sheet name="Religion" sheetId="3" r:id="rId3"/>
    <sheet name="National Identity" sheetId="4" r:id="rId4"/>
    <sheet name="Ethnic Group (1)" sheetId="5" r:id="rId5"/>
    <sheet name="Ethnic Group (2)" sheetId="6" r:id="rId6"/>
    <sheet name="Country of Birth" sheetId="7" r:id="rId7"/>
    <sheet name="Passports Held" sheetId="8" r:id="rId8"/>
  </sheets>
  <definedNames>
    <definedName name="_xlnm.Print_Area" localSheetId="6">'Country of Birth'!$A$1:$AU$156</definedName>
    <definedName name="_xlnm.Print_Area" localSheetId="4">'Ethnic Group (1)'!$A$1:$CF$118</definedName>
    <definedName name="_xlnm.Print_Area" localSheetId="5">'Ethnic Group (2)'!$A$1:$CQ$64</definedName>
    <definedName name="_xlnm.Print_Area" localSheetId="0">'Index'!$A$1:$C$106</definedName>
    <definedName name="_xlnm.Print_Area" localSheetId="1">'Language'!$A$1:$AH$106</definedName>
    <definedName name="_xlnm.Print_Area" localSheetId="7">'Passports Held'!$A$1:$J$119</definedName>
    <definedName name="_xlnm.Print_Area" localSheetId="2">'Religion'!$A$1:$DP$58</definedName>
  </definedNames>
  <calcPr fullCalcOnLoad="1"/>
</workbook>
</file>

<file path=xl/sharedStrings.xml><?xml version="1.0" encoding="utf-8"?>
<sst xmlns="http://schemas.openxmlformats.org/spreadsheetml/2006/main" count="2287" uniqueCount="427">
  <si>
    <t>French</t>
  </si>
  <si>
    <t>Portuguese</t>
  </si>
  <si>
    <t>Spanish</t>
  </si>
  <si>
    <t>Other European language (EU): Polish</t>
  </si>
  <si>
    <t>Other European language (EU): Any other European language</t>
  </si>
  <si>
    <t>Other European language (non EU)</t>
  </si>
  <si>
    <t>Arabic</t>
  </si>
  <si>
    <t>West/Central Asian language</t>
  </si>
  <si>
    <t>South Asian language: Panjabi</t>
  </si>
  <si>
    <t>South Asian language: Urdu</t>
  </si>
  <si>
    <t>South Asian language: Bengali (with Sylheti and Chatgaya)</t>
  </si>
  <si>
    <t>South Asian language: Gujarati</t>
  </si>
  <si>
    <t>South Asian language: Tamil</t>
  </si>
  <si>
    <t>South Asian language: Any other South Asian language</t>
  </si>
  <si>
    <t>East Asian language: Chinese</t>
  </si>
  <si>
    <t>East Asian language: Any other East Asian language</t>
  </si>
  <si>
    <t>African language</t>
  </si>
  <si>
    <t>Other language</t>
  </si>
  <si>
    <t>2011 Census Data</t>
  </si>
  <si>
    <t>Table DC2104EW - All usual residents aged 3 and over</t>
  </si>
  <si>
    <t>Total</t>
  </si>
  <si>
    <t>3 to 15</t>
  </si>
  <si>
    <t>16 to 24</t>
  </si>
  <si>
    <t>25 to 34</t>
  </si>
  <si>
    <t>35 to 49</t>
  </si>
  <si>
    <t>50 to 64</t>
  </si>
  <si>
    <t>65 to 74</t>
  </si>
  <si>
    <t>75 to 84</t>
  </si>
  <si>
    <t>Age</t>
  </si>
  <si>
    <t>85 +</t>
  </si>
  <si>
    <t>English</t>
  </si>
  <si>
    <t>Source: Office for National Statistics   © Crown Copyright 2013</t>
  </si>
  <si>
    <t>Age of Arrival in UK</t>
  </si>
  <si>
    <t>Born in the UK</t>
  </si>
  <si>
    <t>Age of arrival in the UK: 0 to 15</t>
  </si>
  <si>
    <t>Age of arrival in the UK: 16 to 24</t>
  </si>
  <si>
    <t>Age of arrival in the UK: 25 to 34</t>
  </si>
  <si>
    <t>Age of arrival in the UK: 35 to 49</t>
  </si>
  <si>
    <t>Age of arrival in the UK: 50 to 64</t>
  </si>
  <si>
    <t>Age of arrival in the UK: 65 and over</t>
  </si>
  <si>
    <t>Main language is English</t>
  </si>
  <si>
    <t>Main Language is not English</t>
  </si>
  <si>
    <t>Can speak English very well</t>
  </si>
  <si>
    <t>Can speak English well</t>
  </si>
  <si>
    <t>Cannot speak English well</t>
  </si>
  <si>
    <t>Cannot speak English</t>
  </si>
  <si>
    <t>Main Language is not English Total</t>
  </si>
  <si>
    <t>Born outside the UK</t>
  </si>
  <si>
    <t>Total (not sum)</t>
  </si>
  <si>
    <t>Table DC2803EW - All usual residents aged 3 and over</t>
  </si>
  <si>
    <t>Main Language by Age (Wandsworth)</t>
  </si>
  <si>
    <t>Main Language by Age (Wandsworth) - Column Percentages</t>
  </si>
  <si>
    <t>Main Language by Age (Wandsworth) - Row Percentages</t>
  </si>
  <si>
    <t>Main Language</t>
  </si>
  <si>
    <t>Age of Arrival in the UK by Proficiency in English (Wandsworth)</t>
  </si>
  <si>
    <t>Age of Arrival in the UK by Proficiency in English (Wandsworth) - Column Percentages</t>
  </si>
  <si>
    <t>Age of Arrival in the UK by Proficiency in English (Wandsworth) - Row Percentages</t>
  </si>
  <si>
    <t>Proficiency in English by Age (Wandsworth)</t>
  </si>
  <si>
    <t xml:space="preserve">3 to 15 </t>
  </si>
  <si>
    <t>65+</t>
  </si>
  <si>
    <t xml:space="preserve">Total </t>
  </si>
  <si>
    <t>Table DC2105EW - All usual residents aged 3 and over</t>
  </si>
  <si>
    <t>Proficiency in English by Age (Wandsworth) - Column Percentages</t>
  </si>
  <si>
    <t>Proficiency in English by Age (Wandsworth) - Row Percentages</t>
  </si>
  <si>
    <t xml:space="preserve">Age </t>
  </si>
  <si>
    <t>1. Managers, directors and senior officials</t>
  </si>
  <si>
    <t>2. Professional occupations</t>
  </si>
  <si>
    <t>3. Associate professional and technical occupations</t>
  </si>
  <si>
    <t>4. Administrative and secretarial occupations</t>
  </si>
  <si>
    <t>5. Skilled trades occupations</t>
  </si>
  <si>
    <t>6. Caring, leisure and other service occupations</t>
  </si>
  <si>
    <t>7. Sales and customer service occupations</t>
  </si>
  <si>
    <t>8. Process, plant and machine operatives</t>
  </si>
  <si>
    <t>9. Elementary occupations</t>
  </si>
  <si>
    <t>Proficiency in English by Occupation (Wandsworth)</t>
  </si>
  <si>
    <t>Table DC2602EW - All usual residents aged 16 and over</t>
  </si>
  <si>
    <t>Main language is not English: Can speak English very well or well</t>
  </si>
  <si>
    <t>Main language is not English: Cannot speak English or cannot speak English well</t>
  </si>
  <si>
    <t>Proficiency in English by Occupation (Wandsworth) - Column Percentages</t>
  </si>
  <si>
    <t>Proficiency in English by Occupation (Wandsworth) - Row Percentages</t>
  </si>
  <si>
    <t xml:space="preserve">National Identity </t>
  </si>
  <si>
    <t>Religion</t>
  </si>
  <si>
    <t>Christian</t>
  </si>
  <si>
    <t>Buddhist</t>
  </si>
  <si>
    <t>Hindu</t>
  </si>
  <si>
    <t>Jewish</t>
  </si>
  <si>
    <t>Muslim</t>
  </si>
  <si>
    <t>Sikh</t>
  </si>
  <si>
    <t>Other Religion</t>
  </si>
  <si>
    <t>No religion</t>
  </si>
  <si>
    <t>Religion Not Stated</t>
  </si>
  <si>
    <t>British</t>
  </si>
  <si>
    <t>Any other combination of UK identities (UK only)</t>
  </si>
  <si>
    <t>Irish</t>
  </si>
  <si>
    <t>Irish and at least one UK identity</t>
  </si>
  <si>
    <t>Other identity and at least one UK identity</t>
  </si>
  <si>
    <t>Passports Held by Age (Wandsworth)</t>
  </si>
  <si>
    <t>0 to 15</t>
  </si>
  <si>
    <t>Europe: Total</t>
  </si>
  <si>
    <t>Europe: United Kingdom</t>
  </si>
  <si>
    <t>Europe: Ireland</t>
  </si>
  <si>
    <t>Europe: Other Europe: Total</t>
  </si>
  <si>
    <t>Europe: Other Europe: EU countries: Total</t>
  </si>
  <si>
    <t>Europe: Other Europe: EU countries: Member countries in March 2001</t>
  </si>
  <si>
    <t>Europe: Other Europe: EU countries: Accession countries April 2001 to March 2011</t>
  </si>
  <si>
    <t>Europe: Other Europe: Rest of Europe</t>
  </si>
  <si>
    <t>Africa: Total</t>
  </si>
  <si>
    <t>Africa: North Africa</t>
  </si>
  <si>
    <t>Africa: Central and Western Africa</t>
  </si>
  <si>
    <t>Africa: South and Eastern Africa</t>
  </si>
  <si>
    <t>Middle East and Asia: Total</t>
  </si>
  <si>
    <t>Middle East and Asia: Middle East</t>
  </si>
  <si>
    <t>Middle East and Asia: Eastern Asia</t>
  </si>
  <si>
    <t>Middle East and Asia: Southern Asia</t>
  </si>
  <si>
    <t>Middle East and Asia: South-East Asia</t>
  </si>
  <si>
    <t>Middle East and Asia: Central Asia</t>
  </si>
  <si>
    <t>The Americas and the Caribbean: Total</t>
  </si>
  <si>
    <t>The Americas and the Caribbean: North America and the Caribbean</t>
  </si>
  <si>
    <t>The Americas and the Caribbean: Central and South America</t>
  </si>
  <si>
    <t>Antarctica and Oceania (including Australasia)</t>
  </si>
  <si>
    <t>No passport held</t>
  </si>
  <si>
    <t>Passports Held by Age (Wandsworth) - Column Percentages</t>
  </si>
  <si>
    <t>Passports Held by Age (Wandsworth) - Row Percentages</t>
  </si>
  <si>
    <t>Passports Held</t>
  </si>
  <si>
    <t>Europe: United Kingdom: Total</t>
  </si>
  <si>
    <t>Europe: United Kingdom: England</t>
  </si>
  <si>
    <t>Europe: United Kingdom: Northern Ireland</t>
  </si>
  <si>
    <t>Europe: United Kingdom: Scotland</t>
  </si>
  <si>
    <t>Europe: United Kingdom: Wales</t>
  </si>
  <si>
    <t>Europe: United Kingdom: Great Britain not otherwise specified</t>
  </si>
  <si>
    <t>Europe: United Kingdom: United Kingdom not otherwise specified</t>
  </si>
  <si>
    <t>Africa: Africa not otherwise specified</t>
  </si>
  <si>
    <t>White: Total</t>
  </si>
  <si>
    <t>Asian/Asian British: Total</t>
  </si>
  <si>
    <t>Black/African/Caribbean/Black British: Total</t>
  </si>
  <si>
    <t>Other ethnic group: Total</t>
  </si>
  <si>
    <t>White and Black Caribbean</t>
  </si>
  <si>
    <t>White and Black African</t>
  </si>
  <si>
    <t>White and Asian</t>
  </si>
  <si>
    <t>Other Mixed</t>
  </si>
  <si>
    <t>Indian</t>
  </si>
  <si>
    <t>Pakistani</t>
  </si>
  <si>
    <t>Bangladeshi</t>
  </si>
  <si>
    <t>Chinese</t>
  </si>
  <si>
    <t>Other Asian</t>
  </si>
  <si>
    <t>African</t>
  </si>
  <si>
    <t>Caribbean</t>
  </si>
  <si>
    <t>Other Black</t>
  </si>
  <si>
    <t>Arab</t>
  </si>
  <si>
    <t>Any other ethnic group</t>
  </si>
  <si>
    <t>Gypsy or Irish Traveller</t>
  </si>
  <si>
    <t>Other White</t>
  </si>
  <si>
    <t>Multiple ethnic group: Total</t>
  </si>
  <si>
    <t>Country of Birth</t>
  </si>
  <si>
    <t>Country of Birth by Ethnic Group (Wandsworth)</t>
  </si>
  <si>
    <t>Ethnic Group</t>
  </si>
  <si>
    <t>Country of Birth by Ethnic Group (Wandsworth) - Row Percentages</t>
  </si>
  <si>
    <t>Country of Birth by Age (Wandsworth)</t>
  </si>
  <si>
    <t xml:space="preserve">Country of Birth </t>
  </si>
  <si>
    <t>Table DC2103EW - All usual residents</t>
  </si>
  <si>
    <t>Born Outside the UK: Total</t>
  </si>
  <si>
    <t>Country of Birth by Age of Arrival in UK (Wandsworth)</t>
  </si>
  <si>
    <t>Country of Birth by Age (Wandsworth) - Row Percentages</t>
  </si>
  <si>
    <t>Country of Birth by Age of Arrival in UK (Wandsworth) - Row Percentages</t>
  </si>
  <si>
    <t>Table DC2802EW - All usual residents</t>
  </si>
  <si>
    <t>Country of Birth by Age of Arrival in UK (Wandsworth) - Column Percentages</t>
  </si>
  <si>
    <t>Table DC2205EW - All usual residents</t>
  </si>
  <si>
    <t>British only identity</t>
  </si>
  <si>
    <t>English only identity</t>
  </si>
  <si>
    <t>English and British only identity</t>
  </si>
  <si>
    <t>Welsh only identity</t>
  </si>
  <si>
    <t>Welsh and British only identity</t>
  </si>
  <si>
    <t>Scottish only identity</t>
  </si>
  <si>
    <t>Scottish and British only identity</t>
  </si>
  <si>
    <t>Northern Irish only identity</t>
  </si>
  <si>
    <t>Northern Irish and British only identity</t>
  </si>
  <si>
    <t>Irish only identity</t>
  </si>
  <si>
    <t>Other identity only</t>
  </si>
  <si>
    <t>0 to 9</t>
  </si>
  <si>
    <t>10 to 15</t>
  </si>
  <si>
    <t>16 to 19</t>
  </si>
  <si>
    <t>20 to 29</t>
  </si>
  <si>
    <t>30 to 39</t>
  </si>
  <si>
    <t>40 to 49</t>
  </si>
  <si>
    <t>50 to 59</t>
  </si>
  <si>
    <t>60 to 69</t>
  </si>
  <si>
    <t>70+</t>
  </si>
  <si>
    <t xml:space="preserve">National Identity by Age (Wandsworth) </t>
  </si>
  <si>
    <t>Table DC2102EW - All usual residents</t>
  </si>
  <si>
    <t>National Identity by Age (Wandsworth)  - Column Percentages</t>
  </si>
  <si>
    <t>Religion by age (Wandsworth)</t>
  </si>
  <si>
    <t xml:space="preserve">Religion </t>
  </si>
  <si>
    <t>No Religion</t>
  </si>
  <si>
    <t>Table DC2107EW -  All usual residents</t>
  </si>
  <si>
    <t>Religion by age (Wandsworth) - Column Percentages</t>
  </si>
  <si>
    <t>NS-SeC by Religion (Wandsworth)</t>
  </si>
  <si>
    <t>NS-Sec</t>
  </si>
  <si>
    <t>Other religion</t>
  </si>
  <si>
    <t>Religion not stated</t>
  </si>
  <si>
    <t>1. Higher managerial, administrative and professional occupations</t>
  </si>
  <si>
    <t>1.1 Large employers and higher managerial and administrative occupations</t>
  </si>
  <si>
    <t>1.2 Higher professional occupations</t>
  </si>
  <si>
    <t>2. Lower managerial, administrative and professional occupations</t>
  </si>
  <si>
    <t>3. Intermediate occupations</t>
  </si>
  <si>
    <t>4. Small employers and own account workers</t>
  </si>
  <si>
    <t>5. Lower supervisory and technical occupations</t>
  </si>
  <si>
    <t>6. Semi-routine occupations</t>
  </si>
  <si>
    <t>7. Routine occupations</t>
  </si>
  <si>
    <t>8. Never worked and long-term unemployed</t>
  </si>
  <si>
    <t>L14.1 Never worked</t>
  </si>
  <si>
    <t>L14.2 Long-term unemployed</t>
  </si>
  <si>
    <t>Not classified</t>
  </si>
  <si>
    <t>L15 Full-time students</t>
  </si>
  <si>
    <t>L17 Not classifiable for other reasons</t>
  </si>
  <si>
    <t>NS-SeC by Religion (Wandsworth) - Column Percentages</t>
  </si>
  <si>
    <t>Table DC6027EWa -  All usual residents aged 16 and over</t>
  </si>
  <si>
    <t>NS-SeC by Religion (Wandsworth) - Row Percentages</t>
  </si>
  <si>
    <t>Country of Birth by Religion (Wandsworth)</t>
  </si>
  <si>
    <t>Table DC2207EW -  All usual residents</t>
  </si>
  <si>
    <t>Country of Birth by Religion (Wandsworth) - Column Percentages</t>
  </si>
  <si>
    <t>Economically active: Total</t>
  </si>
  <si>
    <t>Economically active: In employment: Total</t>
  </si>
  <si>
    <t>Economically active: In employment: Employee: Total</t>
  </si>
  <si>
    <t>Economically active: In employment: Employee: Part-time</t>
  </si>
  <si>
    <t>Economically active: In employment: Employee: Full-time</t>
  </si>
  <si>
    <t>Economically active: In employment: Self-employed: Total</t>
  </si>
  <si>
    <t>Economically active: In employment: Self-employed: Part-time</t>
  </si>
  <si>
    <t>Economically active: In employment: Self-employed: Full-time</t>
  </si>
  <si>
    <t>Economically active: In employment: Full-time students</t>
  </si>
  <si>
    <t>Economically active: Unemployed: Total</t>
  </si>
  <si>
    <t>Economically active: Unemployed: Unemployed (excluding full-time students)</t>
  </si>
  <si>
    <t>Economically active: Unemployed: Full-time students</t>
  </si>
  <si>
    <t>Economically inactive: Total</t>
  </si>
  <si>
    <t>Economically inactive: Retired</t>
  </si>
  <si>
    <t>Economically inactive: Student (including full-time students)</t>
  </si>
  <si>
    <t>Economically inactive: Looking after home or family</t>
  </si>
  <si>
    <t>Economically inactive: Long-term sick or disabled</t>
  </si>
  <si>
    <t>Economically inactive: Other</t>
  </si>
  <si>
    <t xml:space="preserve">Economic Activity by Religion (Wandsworth) </t>
  </si>
  <si>
    <t>Economic Activity by Religion (Wandsworth) - Column Percentages</t>
  </si>
  <si>
    <t>Table DC6205EW -  All usual residents aged 16 and over</t>
  </si>
  <si>
    <t>National Identity by Religion (Wandsworth)</t>
  </si>
  <si>
    <t xml:space="preserve">English </t>
  </si>
  <si>
    <t xml:space="preserve">English and British </t>
  </si>
  <si>
    <t>Welsh</t>
  </si>
  <si>
    <t>Welsh and British</t>
  </si>
  <si>
    <t xml:space="preserve">Scottish </t>
  </si>
  <si>
    <t xml:space="preserve">Scottish and British </t>
  </si>
  <si>
    <t>Northern Irish</t>
  </si>
  <si>
    <t xml:space="preserve">Northern Irish and British </t>
  </si>
  <si>
    <t>Other identity</t>
  </si>
  <si>
    <t>Table DC2204EW -  All usual residents</t>
  </si>
  <si>
    <t>National Identity by Religion (Wandsworth) - Column Percentages</t>
  </si>
  <si>
    <t>National Identity by Religion (Wandsworth) - Row Percentages</t>
  </si>
  <si>
    <t>White: English/Welsh/Scottish/Northern Irish/British</t>
  </si>
  <si>
    <t>White: Irish</t>
  </si>
  <si>
    <t>White: Gypsy or Irish Traveller</t>
  </si>
  <si>
    <t>White: Other White</t>
  </si>
  <si>
    <t>Mixed/multiple ethnic group: Total</t>
  </si>
  <si>
    <t>Mixed/multiple ethnic group: White and Black Caribbean</t>
  </si>
  <si>
    <t>Mixed/multiple ethnic group: White and Black African</t>
  </si>
  <si>
    <t>Mixed/multiple ethnic group: White and Asian</t>
  </si>
  <si>
    <t>Mixed/multiple ethnic group: Other Mixed</t>
  </si>
  <si>
    <t>Asian/Asian British: Indian</t>
  </si>
  <si>
    <t>Asian/Asian British: Pakistani</t>
  </si>
  <si>
    <t>Asian/Asian British: Bangladeshi</t>
  </si>
  <si>
    <t>Asian/Asian British: Chinese</t>
  </si>
  <si>
    <t>Asian/Asian British: Other Asian</t>
  </si>
  <si>
    <t>Black/African/Caribbean/Black British: African</t>
  </si>
  <si>
    <t>Black/African/Caribbean/Black British: Caribbean</t>
  </si>
  <si>
    <t>Black/African/Caribbean/Black British: Other Black</t>
  </si>
  <si>
    <t>Other ethnic group: Arab</t>
  </si>
  <si>
    <t>Other ethnic group: Any other ethnic group</t>
  </si>
  <si>
    <t>Table DC2101EW -  All usual residents</t>
  </si>
  <si>
    <t>Ethnic Group by Age (Wandsworth)</t>
  </si>
  <si>
    <t>Ethnic Group by Age (Wandsworth) - Column Percentages</t>
  </si>
  <si>
    <t>Table DC2201EW -  All usual residents</t>
  </si>
  <si>
    <t>Ethnic Group by Religion (Wandsworth)</t>
  </si>
  <si>
    <t>Ethnic Group by Religion (Wandsworth) - Column Percentages</t>
  </si>
  <si>
    <t>Born outside the UK: Total</t>
  </si>
  <si>
    <t>Age of Arrival in the UK</t>
  </si>
  <si>
    <t>Ethnic Group by Age of Arrival in the UK (Wandsworth)</t>
  </si>
  <si>
    <t>Table DC2801EW -  All usual residents</t>
  </si>
  <si>
    <t>Ethnic Group by Age of Arrival in the UK (Wandsworth) - Column Percentages</t>
  </si>
  <si>
    <t>Provides No Unpaid Care</t>
  </si>
  <si>
    <t>1 to 19 Hours</t>
  </si>
  <si>
    <t>20 to 49 Hours</t>
  </si>
  <si>
    <t>50+ Hours</t>
  </si>
  <si>
    <t>Provides Unpaid Care: Total</t>
  </si>
  <si>
    <t>Ethnic Group by Provision of Unpaid Care (Wandsworth)</t>
  </si>
  <si>
    <t>Hours of Unpaid Care Provided a Week</t>
  </si>
  <si>
    <t>Table DC2301EW -  All usual residents</t>
  </si>
  <si>
    <t>Ethnic Group by Provision of Unpaid Care (Wandsworth) - Row Percentages</t>
  </si>
  <si>
    <t>British only</t>
  </si>
  <si>
    <t>English only</t>
  </si>
  <si>
    <t>English and British only</t>
  </si>
  <si>
    <t>Welsh only</t>
  </si>
  <si>
    <t>Welsh and British only</t>
  </si>
  <si>
    <t>Scottish only</t>
  </si>
  <si>
    <t>Scottish and British only</t>
  </si>
  <si>
    <t>Northern Irish only</t>
  </si>
  <si>
    <t>Northern Irish and British only</t>
  </si>
  <si>
    <t>Irish only</t>
  </si>
  <si>
    <t>National Idenity</t>
  </si>
  <si>
    <t>National Identity by Ethnic Group (Wandsworth)</t>
  </si>
  <si>
    <t>Table DC2202EW -  All usual residents</t>
  </si>
  <si>
    <t>National Identity by Ethnic Group (Wandsworth) - Column Percentages</t>
  </si>
  <si>
    <t>National Identity by Ethnic Group (Wandsworth) - Row Percentages</t>
  </si>
  <si>
    <t>Age 0 to 2</t>
  </si>
  <si>
    <t>Age 3 to 4</t>
  </si>
  <si>
    <t>Age 5 to 7</t>
  </si>
  <si>
    <t>Age 8 to 9</t>
  </si>
  <si>
    <t>Age 10 to 11</t>
  </si>
  <si>
    <t>Age 12 to 14</t>
  </si>
  <si>
    <t>Age 15</t>
  </si>
  <si>
    <t>Age 16</t>
  </si>
  <si>
    <t>Age 17</t>
  </si>
  <si>
    <t>Age 18</t>
  </si>
  <si>
    <t>Age of Dependent Child</t>
  </si>
  <si>
    <t>Table DC1203EW -  All dependent children</t>
  </si>
  <si>
    <t>Dependent Children by Ethnic Group of Household Reference Person (HRP) (Wandsworth)</t>
  </si>
  <si>
    <t>Dependent Children by Ethnic Group of Household Reference Person (HRP) (Wandsworth) - Row Percentages</t>
  </si>
  <si>
    <t>Dependent Children by Ethnic Group of Household Reference Person (HRP) (Wandsworth) - Column Percentages</t>
  </si>
  <si>
    <t>Males</t>
  </si>
  <si>
    <t>Females</t>
  </si>
  <si>
    <t>Sex</t>
  </si>
  <si>
    <t>Ethnic Group of Dependent Child by Sex (Wandsworth)</t>
  </si>
  <si>
    <t>Table DC2116EW -  All dependent children</t>
  </si>
  <si>
    <t>Ethnic Group of Dependent Child by Sex (Wandsworth) - Column Percentages</t>
  </si>
  <si>
    <t>Ethnic Group of Dependent Child by Sex (Wandsworth) - Row Percentages</t>
  </si>
  <si>
    <t>Up to 0.5 persons per room</t>
  </si>
  <si>
    <t>Over 0.5 and up to 1.0 persons per room</t>
  </si>
  <si>
    <t>Over 1.0 and up to 1.5 persons per room</t>
  </si>
  <si>
    <t>Over 1.5 persons per room</t>
  </si>
  <si>
    <t>Persons per Room</t>
  </si>
  <si>
    <t>Table DC4209EW -  All Households</t>
  </si>
  <si>
    <t>NS-SeC</t>
  </si>
  <si>
    <t>Number of Persons per Room in Household by Ethnic Group of Household Reference Person (HRP) (Wandsworth)</t>
  </si>
  <si>
    <t>Number of Persons per Room in Household by Ethnic Group of Household Reference Person (HRP) (Wandsworth) - Row Percentages</t>
  </si>
  <si>
    <t>Number of Persons per Room in Household by Ethnic Group of Household Reference Person (HRP) (Wandsworth) - Column Percentages</t>
  </si>
  <si>
    <t>NS-SeC by Ethnic Group (Wandsworth)</t>
  </si>
  <si>
    <t>Not classified - L15 Full-time Student</t>
  </si>
  <si>
    <t>Table DC6206EWa -  All usual residents aged 16 and over</t>
  </si>
  <si>
    <t>NS-SeC by Ethnic Group (Wandsworth) - Row Percentages</t>
  </si>
  <si>
    <t>One person household: Total</t>
  </si>
  <si>
    <t>One person household: Aged 65 and over</t>
  </si>
  <si>
    <t>One person household: Other</t>
  </si>
  <si>
    <t>One family only: Total</t>
  </si>
  <si>
    <t>One family only: All aged 65 and over</t>
  </si>
  <si>
    <t>One family only: Married or same-sex civil partnership couple: Total</t>
  </si>
  <si>
    <t>One family only: Cohabiting couple: Total</t>
  </si>
  <si>
    <t>One family only: Cohabiting couple: No children</t>
  </si>
  <si>
    <t>One family only: Cohabiting couple: Dependent children</t>
  </si>
  <si>
    <t>One family only: Cohabiting couple: All children non-dependent</t>
  </si>
  <si>
    <t>One family only: Lone parent: Total</t>
  </si>
  <si>
    <t>One family only: Lone parent: Dependent children</t>
  </si>
  <si>
    <t>One family only: Lone parent: All children non-dependent</t>
  </si>
  <si>
    <t>Other household types: Total</t>
  </si>
  <si>
    <t>Other household types: With dependent children</t>
  </si>
  <si>
    <t>Other household types: All full-time students</t>
  </si>
  <si>
    <t>Other household types: All aged 65 and over</t>
  </si>
  <si>
    <t>Other household types: Other</t>
  </si>
  <si>
    <t>Table DC1201EW -  All Households</t>
  </si>
  <si>
    <t>Household Composition by Ethnic Group of Household Reference Person (HRP) (Wandsworth)</t>
  </si>
  <si>
    <t>White</t>
  </si>
  <si>
    <t>Multiple ethnic group</t>
  </si>
  <si>
    <t>Asian/Asian British</t>
  </si>
  <si>
    <t>Black/African/Caribbean</t>
  </si>
  <si>
    <t>Other ethnic group</t>
  </si>
  <si>
    <t>One family only: Married/same-sex civil partnership couple: All children non-dependent</t>
  </si>
  <si>
    <t>One family only: Married/same-sex civil partnership couple: Dependent children</t>
  </si>
  <si>
    <t>One family only: Married/same-sex civil partnership couple: No children</t>
  </si>
  <si>
    <t>Household Composition by Ethnic Group of Household Reference Person (HRP) (Wandsworth) - Column Percentages</t>
  </si>
  <si>
    <t>Page</t>
  </si>
  <si>
    <t>Cultural Characteristics - Index</t>
  </si>
  <si>
    <t>Language</t>
  </si>
  <si>
    <t>Chart: Main Language by Age (Wandsworth)</t>
  </si>
  <si>
    <t>DC2104EW</t>
  </si>
  <si>
    <t>DC2803EW</t>
  </si>
  <si>
    <t>Chart: Age of Arrival in the UK by Proficiency in English (Wandsworth)</t>
  </si>
  <si>
    <t>DC2105EW</t>
  </si>
  <si>
    <t>Chart: Proficiency in English by Age (Wandsworth)</t>
  </si>
  <si>
    <t>DC2602EW</t>
  </si>
  <si>
    <t>Chart: Proficiency in English by Occupation (Wandsworth)</t>
  </si>
  <si>
    <t>DC2107EW</t>
  </si>
  <si>
    <t>Chart: Religion by age (Wandsworth)</t>
  </si>
  <si>
    <t>DC6027EWa</t>
  </si>
  <si>
    <t>Chart: NS-SeC by Religion (Wandsworth)</t>
  </si>
  <si>
    <t>DC2207EW</t>
  </si>
  <si>
    <t>Chart: Country of Birth by Religion (Wandsworth)</t>
  </si>
  <si>
    <t>DC6205EW</t>
  </si>
  <si>
    <t xml:space="preserve">Chart: Economic Activity by Religion (Wandsworth) </t>
  </si>
  <si>
    <t>DC2204EW</t>
  </si>
  <si>
    <t xml:space="preserve">National Identity by Religion (Wandsworth) </t>
  </si>
  <si>
    <t xml:space="preserve">Chart: National Identity by Religion (Wandsworth) </t>
  </si>
  <si>
    <t>National Identity</t>
  </si>
  <si>
    <t>DC2102EW</t>
  </si>
  <si>
    <t xml:space="preserve">Chart: National Identity by Age (Wandsworth) </t>
  </si>
  <si>
    <t>Ethnic Group (1)</t>
  </si>
  <si>
    <t>DC2101EW</t>
  </si>
  <si>
    <t>Chart: Ethnic Group by Age (Wandsworth)</t>
  </si>
  <si>
    <t>DC2201EW</t>
  </si>
  <si>
    <t>Chart: Ethnic Group by Religion (Wandsworth)</t>
  </si>
  <si>
    <t>DC2801EW</t>
  </si>
  <si>
    <t>Chart: Ethnic Group by Age of Arrival in the UK (Wandsworth)</t>
  </si>
  <si>
    <t>Chart: Ethnic Group by Provision of Unpaid Care (Wandsworth)</t>
  </si>
  <si>
    <t>DC2301EW</t>
  </si>
  <si>
    <t>DC2202EW</t>
  </si>
  <si>
    <t>Chart: National Identity by Ethnic Group (Wandsworth)</t>
  </si>
  <si>
    <t>DC1203EW</t>
  </si>
  <si>
    <t>Chart: Dependent Children by Ethnic Group of Household Reference Person (HRP) (Wandsworth)</t>
  </si>
  <si>
    <t>DC2116EW</t>
  </si>
  <si>
    <t>Chart: Ethnic Group of Dependent Child by Sex (Wandsworth)</t>
  </si>
  <si>
    <t>DC4209EW</t>
  </si>
  <si>
    <t>Chart: Number of Persons per Room in Household by Ethnic Group of Household Reference Person (HRP) (Wandsworth)</t>
  </si>
  <si>
    <t>DC6206EWa</t>
  </si>
  <si>
    <t>Ethnic Group (2)</t>
  </si>
  <si>
    <t>Chart: NS-SeC by Ethnic Group (Wandsworth)</t>
  </si>
  <si>
    <t>DC1201EW</t>
  </si>
  <si>
    <t>Chart: Household Composition by Ethnic Group of Household Reference Person (HRP) (Wandsworth)</t>
  </si>
  <si>
    <t>DC2205EW</t>
  </si>
  <si>
    <t>Chart: Country of Birth by Ethnic Group (Wandsworth)</t>
  </si>
  <si>
    <t>DC2103EW</t>
  </si>
  <si>
    <t>Chart: Country of Birth by Age (Wandsworth)</t>
  </si>
  <si>
    <t>DC2802EW</t>
  </si>
  <si>
    <t>Chart: Country of Birth by Age of Arrival in UK (Wandsworth)</t>
  </si>
  <si>
    <t>Chart: Passports Held by Age (Wandsworth)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</si>
</sst>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_(* #,##0.00_);_(* \(\ #,##0.00\ \);_(* &quot;-&quot;??_);_(\ @_ \)"/>
    <numFmt numFmtId="167" formatCode="_(* #,##0_);_(* \(\ #,##0\ \);_(* &quot;-&quot;_);_(\ @_ \)"/>
    <numFmt numFmtId="168" formatCode="_(&quot;$&quot;* #,##0.00_);_(&quot;$&quot;* \(\ #,##0.00\ \);_(&quot;$&quot;* &quot;-&quot;??_);_(\ @_ \)"/>
    <numFmt numFmtId="169" formatCode="_(&quot;$&quot;* #,##0_);_(&quot;$&quot;* \(\ #,##0\ \);_(&quot;$&quot;* &quot;-&quot;_);_(\ @_ \)"/>
  </numFmts>
  <fonts count="10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0.75"/>
      <name val="Calibri"/>
      <family val="2"/>
    </font>
    <font>
      <b/>
      <u val="single"/>
      <sz val="1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 val="single"/>
      <sz val="16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sz val="11.25"/>
      <color indexed="8"/>
      <name val="Arial"/>
      <family val="2"/>
    </font>
    <font>
      <b/>
      <u val="single"/>
      <sz val="12"/>
      <color indexed="8"/>
      <name val="Arial"/>
      <family val="2"/>
    </font>
    <font>
      <sz val="9.65"/>
      <color indexed="8"/>
      <name val="Arial"/>
      <family val="2"/>
    </font>
    <font>
      <sz val="17"/>
      <color indexed="8"/>
      <name val="Arial"/>
      <family val="2"/>
    </font>
    <font>
      <b/>
      <u val="single"/>
      <sz val="20.25"/>
      <color indexed="8"/>
      <name val="Arial"/>
      <family val="2"/>
    </font>
    <font>
      <sz val="15.6"/>
      <color indexed="8"/>
      <name val="Arial"/>
      <family val="2"/>
    </font>
    <font>
      <sz val="16.75"/>
      <color indexed="8"/>
      <name val="Arial"/>
      <family val="2"/>
    </font>
    <font>
      <sz val="15.4"/>
      <color indexed="8"/>
      <name val="Arial"/>
      <family val="2"/>
    </font>
    <font>
      <sz val="15.75"/>
      <color indexed="8"/>
      <name val="Arial"/>
      <family val="2"/>
    </font>
    <font>
      <b/>
      <u val="single"/>
      <sz val="18.75"/>
      <color indexed="8"/>
      <name val="Arial"/>
      <family val="2"/>
    </font>
    <font>
      <sz val="14.45"/>
      <color indexed="8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b/>
      <u val="single"/>
      <sz val="19"/>
      <color indexed="8"/>
      <name val="Arial"/>
      <family val="2"/>
    </font>
    <font>
      <sz val="8"/>
      <color indexed="8"/>
      <name val="Arial"/>
      <family val="2"/>
    </font>
    <font>
      <sz val="10.25"/>
      <color indexed="8"/>
      <name val="Arial"/>
      <family val="2"/>
    </font>
    <font>
      <b/>
      <u val="single"/>
      <sz val="11.25"/>
      <color indexed="8"/>
      <name val="Arial"/>
      <family val="2"/>
    </font>
    <font>
      <sz val="19.25"/>
      <color indexed="8"/>
      <name val="Arial"/>
      <family val="2"/>
    </font>
    <font>
      <sz val="16"/>
      <color indexed="8"/>
      <name val="Arial"/>
      <family val="2"/>
    </font>
    <font>
      <b/>
      <u val="single"/>
      <sz val="23"/>
      <color indexed="8"/>
      <name val="Arial"/>
      <family val="2"/>
    </font>
    <font>
      <sz val="17.7"/>
      <color indexed="8"/>
      <name val="Arial"/>
      <family val="2"/>
    </font>
    <font>
      <sz val="16.25"/>
      <color indexed="8"/>
      <name val="Arial"/>
      <family val="2"/>
    </font>
    <font>
      <b/>
      <u val="single"/>
      <sz val="19.5"/>
      <color indexed="8"/>
      <name val="Arial"/>
      <family val="2"/>
    </font>
    <font>
      <sz val="14.95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b/>
      <sz val="14.5"/>
      <color indexed="8"/>
      <name val="Arial"/>
      <family val="2"/>
    </font>
    <font>
      <b/>
      <u val="single"/>
      <sz val="16"/>
      <color indexed="8"/>
      <name val="Arial"/>
      <family val="2"/>
    </font>
    <font>
      <sz val="20"/>
      <color indexed="8"/>
      <name val="Arial"/>
      <family val="2"/>
    </font>
    <font>
      <b/>
      <sz val="19"/>
      <color indexed="8"/>
      <name val="Arial"/>
      <family val="2"/>
    </font>
    <font>
      <b/>
      <u val="single"/>
      <sz val="23.75"/>
      <color indexed="8"/>
      <name val="Arial"/>
      <family val="2"/>
    </font>
    <font>
      <sz val="12.85"/>
      <color indexed="8"/>
      <name val="Arial"/>
      <family val="2"/>
    </font>
    <font>
      <b/>
      <u val="single"/>
      <sz val="24"/>
      <color indexed="8"/>
      <name val="Arial"/>
      <family val="2"/>
    </font>
    <font>
      <sz val="18.4"/>
      <color indexed="8"/>
      <name val="Arial"/>
      <family val="2"/>
    </font>
    <font>
      <sz val="20.25"/>
      <color indexed="8"/>
      <name val="Arial"/>
      <family val="2"/>
    </font>
    <font>
      <sz val="27"/>
      <color indexed="8"/>
      <name val="Arial"/>
      <family val="2"/>
    </font>
    <font>
      <b/>
      <u val="single"/>
      <sz val="24.25"/>
      <color indexed="8"/>
      <name val="Arial"/>
      <family val="2"/>
    </font>
    <font>
      <sz val="18.6"/>
      <color indexed="8"/>
      <name val="Arial"/>
      <family val="2"/>
    </font>
    <font>
      <b/>
      <u val="single"/>
      <sz val="14.75"/>
      <color indexed="8"/>
      <name val="Arial"/>
      <family val="2"/>
    </font>
    <font>
      <b/>
      <u val="single"/>
      <sz val="15"/>
      <color indexed="8"/>
      <name val="Arial"/>
      <family val="2"/>
    </font>
    <font>
      <sz val="23.25"/>
      <color indexed="8"/>
      <name val="Arial"/>
      <family val="2"/>
    </font>
    <font>
      <sz val="14.7"/>
      <color indexed="8"/>
      <name val="Arial"/>
      <family val="2"/>
    </font>
    <font>
      <sz val="19.75"/>
      <color indexed="8"/>
      <name val="Arial"/>
      <family val="2"/>
    </font>
    <font>
      <sz val="22.5"/>
      <color indexed="8"/>
      <name val="Arial"/>
      <family val="2"/>
    </font>
    <font>
      <b/>
      <u val="single"/>
      <sz val="23.5"/>
      <color indexed="8"/>
      <name val="Arial"/>
      <family val="2"/>
    </font>
    <font>
      <sz val="25.75"/>
      <color indexed="8"/>
      <name val="Arial"/>
      <family val="2"/>
    </font>
    <font>
      <b/>
      <u val="single"/>
      <sz val="31"/>
      <color indexed="8"/>
      <name val="Arial"/>
      <family val="2"/>
    </font>
    <font>
      <sz val="23.65"/>
      <color indexed="8"/>
      <name val="Arial"/>
      <family val="2"/>
    </font>
    <font>
      <sz val="25.5"/>
      <color indexed="8"/>
      <name val="Arial"/>
      <family val="2"/>
    </font>
    <font>
      <b/>
      <u val="single"/>
      <sz val="30.75"/>
      <color indexed="8"/>
      <name val="Arial"/>
      <family val="2"/>
    </font>
    <font>
      <sz val="23.45"/>
      <color indexed="8"/>
      <name val="Arial"/>
      <family val="2"/>
    </font>
    <font>
      <sz val="21.5"/>
      <color indexed="8"/>
      <name val="Arial"/>
      <family val="2"/>
    </font>
    <font>
      <b/>
      <sz val="21.5"/>
      <color indexed="8"/>
      <name val="Arial"/>
      <family val="2"/>
    </font>
    <font>
      <b/>
      <u val="single"/>
      <sz val="25.75"/>
      <color indexed="8"/>
      <name val="Arial"/>
      <family val="2"/>
    </font>
    <font>
      <b/>
      <u val="single"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0" fontId="0" fillId="0" borderId="0">
      <alignment/>
      <protection/>
    </xf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54" applyFont="1" applyFill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65" applyFont="1" applyBorder="1" applyAlignment="1">
      <alignment horizontal="left" vertical="center"/>
      <protection/>
    </xf>
    <xf numFmtId="3" fontId="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0" fontId="4" fillId="33" borderId="11" xfId="54" applyFont="1" applyFill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left" vertical="center"/>
      <protection/>
    </xf>
    <xf numFmtId="0" fontId="4" fillId="33" borderId="13" xfId="54" applyFont="1" applyFill="1" applyBorder="1" applyAlignment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4" fillId="33" borderId="10" xfId="55" applyFont="1" applyFill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left" vertical="center"/>
      <protection/>
    </xf>
    <xf numFmtId="0" fontId="4" fillId="0" borderId="10" xfId="66" applyFont="1" applyBorder="1" applyAlignment="1">
      <alignment horizontal="left" vertical="center"/>
      <protection/>
    </xf>
    <xf numFmtId="0" fontId="8" fillId="33" borderId="13" xfId="55" applyFont="1" applyFill="1" applyBorder="1" applyAlignment="1">
      <alignment horizontal="left" vertical="top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8" fillId="33" borderId="14" xfId="55" applyFont="1" applyFill="1" applyBorder="1" applyAlignment="1">
      <alignment horizontal="left" vertical="top" wrapText="1"/>
      <protection/>
    </xf>
    <xf numFmtId="0" fontId="8" fillId="33" borderId="12" xfId="55" applyFont="1" applyFill="1" applyBorder="1" applyAlignment="1">
      <alignment horizontal="left" vertical="top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3" fontId="5" fillId="0" borderId="12" xfId="0" applyNumberFormat="1" applyFont="1" applyBorder="1" applyAlignment="1">
      <alignment horizontal="right" vertical="center"/>
    </xf>
    <xf numFmtId="0" fontId="8" fillId="33" borderId="13" xfId="0" applyFont="1" applyFill="1" applyBorder="1" applyAlignment="1">
      <alignment/>
    </xf>
    <xf numFmtId="0" fontId="4" fillId="33" borderId="12" xfId="55" applyFont="1" applyFill="1" applyBorder="1" applyAlignment="1">
      <alignment horizontal="center" vertical="center" wrapText="1"/>
      <protection/>
    </xf>
    <xf numFmtId="164" fontId="5" fillId="0" borderId="1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55" applyFont="1" applyFill="1" applyBorder="1" applyAlignment="1">
      <alignment horizontal="left" vertical="top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5" fillId="0" borderId="0" xfId="66" applyFont="1" applyFill="1" applyBorder="1" applyAlignment="1">
      <alignment horizontal="left" vertical="center"/>
      <protection/>
    </xf>
    <xf numFmtId="164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66" applyFont="1" applyFill="1" applyBorder="1" applyAlignment="1">
      <alignment horizontal="left" vertical="center"/>
      <protection/>
    </xf>
    <xf numFmtId="165" fontId="5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3" borderId="12" xfId="0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54" applyFont="1" applyFill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0" fontId="9" fillId="0" borderId="0" xfId="65" applyFont="1" applyBorder="1" applyAlignment="1">
      <alignment horizontal="left" vertical="center"/>
      <protection/>
    </xf>
    <xf numFmtId="3" fontId="10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33" borderId="13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top" wrapText="1"/>
    </xf>
    <xf numFmtId="0" fontId="5" fillId="34" borderId="10" xfId="65" applyFont="1" applyFill="1" applyBorder="1" applyAlignment="1">
      <alignment horizontal="left" vertical="center"/>
      <protection/>
    </xf>
    <xf numFmtId="0" fontId="5" fillId="35" borderId="10" xfId="65" applyFont="1" applyFill="1" applyBorder="1" applyAlignment="1">
      <alignment horizontal="left" vertical="center"/>
      <protection/>
    </xf>
    <xf numFmtId="3" fontId="5" fillId="35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5" fillId="36" borderId="10" xfId="65" applyFont="1" applyFill="1" applyBorder="1" applyAlignment="1">
      <alignment horizontal="left" vertical="center"/>
      <protection/>
    </xf>
    <xf numFmtId="3" fontId="5" fillId="36" borderId="10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 horizontal="right" vertical="center"/>
    </xf>
    <xf numFmtId="164" fontId="5" fillId="36" borderId="10" xfId="0" applyNumberFormat="1" applyFont="1" applyFill="1" applyBorder="1" applyAlignment="1">
      <alignment horizontal="right" vertical="center"/>
    </xf>
    <xf numFmtId="164" fontId="4" fillId="34" borderId="10" xfId="0" applyNumberFormat="1" applyFont="1" applyFill="1" applyBorder="1" applyAlignment="1">
      <alignment horizontal="right" vertical="center"/>
    </xf>
    <xf numFmtId="164" fontId="4" fillId="35" borderId="10" xfId="0" applyNumberFormat="1" applyFont="1" applyFill="1" applyBorder="1" applyAlignment="1">
      <alignment horizontal="right" vertical="center"/>
    </xf>
    <xf numFmtId="164" fontId="4" fillId="36" borderId="10" xfId="0" applyNumberFormat="1" applyFont="1" applyFill="1" applyBorder="1" applyAlignment="1">
      <alignment horizontal="right" vertical="center"/>
    </xf>
    <xf numFmtId="0" fontId="5" fillId="34" borderId="12" xfId="65" applyFont="1" applyFill="1" applyBorder="1" applyAlignment="1">
      <alignment horizontal="left" vertical="center"/>
      <protection/>
    </xf>
    <xf numFmtId="0" fontId="5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4" fillId="34" borderId="12" xfId="0" applyNumberFormat="1" applyFont="1" applyFill="1" applyBorder="1" applyAlignment="1">
      <alignment horizontal="right" vertical="center"/>
    </xf>
    <xf numFmtId="164" fontId="4" fillId="34" borderId="12" xfId="0" applyNumberFormat="1" applyFont="1" applyFill="1" applyBorder="1" applyAlignment="1">
      <alignment horizontal="right" vertical="center"/>
    </xf>
    <xf numFmtId="164" fontId="4" fillId="35" borderId="12" xfId="0" applyNumberFormat="1" applyFont="1" applyFill="1" applyBorder="1" applyAlignment="1">
      <alignment horizontal="right" vertical="center"/>
    </xf>
    <xf numFmtId="164" fontId="4" fillId="36" borderId="12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/>
    </xf>
    <xf numFmtId="0" fontId="4" fillId="33" borderId="12" xfId="54" applyFont="1" applyFill="1" applyBorder="1" applyAlignment="1">
      <alignment horizontal="center" vertical="center" wrapText="1"/>
      <protection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33" borderId="19" xfId="54" applyFont="1" applyFill="1" applyBorder="1" applyAlignment="1">
      <alignment horizontal="center" vertical="center" wrapText="1"/>
      <protection/>
    </xf>
    <xf numFmtId="0" fontId="0" fillId="33" borderId="2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4" fillId="0" borderId="0" xfId="54" applyFont="1" applyFill="1" applyBorder="1" applyAlignment="1">
      <alignment horizontal="center" vertical="center" wrapText="1"/>
      <protection/>
    </xf>
    <xf numFmtId="3" fontId="10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center"/>
    </xf>
    <xf numFmtId="0" fontId="5" fillId="0" borderId="10" xfId="54" applyFont="1" applyFill="1" applyBorder="1" applyAlignment="1">
      <alignment horizontal="left" vertical="center" wrapText="1"/>
      <protection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33" borderId="10" xfId="54" applyNumberFormat="1" applyFont="1" applyFill="1" applyBorder="1" applyAlignment="1">
      <alignment horizontal="center" vertical="center" wrapText="1"/>
      <protection/>
    </xf>
    <xf numFmtId="16" fontId="4" fillId="33" borderId="10" xfId="54" applyNumberFormat="1" applyFont="1" applyFill="1" applyBorder="1" applyAlignment="1">
      <alignment horizontal="center" vertical="center" wrapText="1"/>
      <protection/>
    </xf>
    <xf numFmtId="17" fontId="4" fillId="33" borderId="10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5" fillId="34" borderId="10" xfId="67" applyFont="1" applyFill="1" applyBorder="1" applyAlignment="1">
      <alignment horizontal="left" vertical="center"/>
      <protection/>
    </xf>
    <xf numFmtId="0" fontId="5" fillId="0" borderId="10" xfId="67" applyFont="1" applyBorder="1" applyAlignment="1">
      <alignment horizontal="left" vertical="center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9" fillId="0" borderId="0" xfId="67" applyFont="1" applyBorder="1" applyAlignment="1">
      <alignment horizontal="left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0" borderId="10" xfId="67" applyFont="1" applyBorder="1" applyAlignment="1">
      <alignment horizontal="left" vertical="center"/>
      <protection/>
    </xf>
    <xf numFmtId="165" fontId="4" fillId="0" borderId="10" xfId="0" applyNumberFormat="1" applyFont="1" applyBorder="1" applyAlignment="1">
      <alignment/>
    </xf>
    <xf numFmtId="165" fontId="5" fillId="34" borderId="12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33" borderId="11" xfId="56" applyFont="1" applyFill="1" applyBorder="1" applyAlignment="1">
      <alignment horizontal="center" vertical="center" wrapText="1"/>
      <protection/>
    </xf>
    <xf numFmtId="0" fontId="5" fillId="34" borderId="12" xfId="67" applyFont="1" applyFill="1" applyBorder="1" applyAlignment="1">
      <alignment horizontal="left" vertical="center"/>
      <protection/>
    </xf>
    <xf numFmtId="0" fontId="11" fillId="33" borderId="12" xfId="0" applyFont="1" applyFill="1" applyBorder="1" applyAlignment="1">
      <alignment vertical="top" wrapText="1"/>
    </xf>
    <xf numFmtId="0" fontId="4" fillId="0" borderId="10" xfId="65" applyFont="1" applyFill="1" applyBorder="1" applyAlignment="1">
      <alignment horizontal="left" vertical="center"/>
      <protection/>
    </xf>
    <xf numFmtId="3" fontId="5" fillId="34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5" fillId="37" borderId="10" xfId="65" applyFont="1" applyFill="1" applyBorder="1" applyAlignment="1">
      <alignment horizontal="left" vertical="center"/>
      <protection/>
    </xf>
    <xf numFmtId="0" fontId="12" fillId="0" borderId="0" xfId="0" applyFont="1" applyAlignment="1">
      <alignment/>
    </xf>
    <xf numFmtId="0" fontId="4" fillId="33" borderId="10" xfId="65" applyFont="1" applyFill="1" applyBorder="1" applyAlignment="1">
      <alignment horizontal="center" vertical="center"/>
      <protection/>
    </xf>
    <xf numFmtId="0" fontId="4" fillId="33" borderId="16" xfId="65" applyFont="1" applyFill="1" applyBorder="1" applyAlignment="1">
      <alignment horizontal="center" vertical="center"/>
      <protection/>
    </xf>
    <xf numFmtId="0" fontId="4" fillId="33" borderId="12" xfId="65" applyFont="1" applyFill="1" applyBorder="1" applyAlignment="1">
      <alignment horizontal="center" vertical="center"/>
      <protection/>
    </xf>
    <xf numFmtId="164" fontId="5" fillId="0" borderId="12" xfId="0" applyNumberFormat="1" applyFont="1" applyFill="1" applyBorder="1" applyAlignment="1">
      <alignment horizontal="right" vertical="center"/>
    </xf>
    <xf numFmtId="0" fontId="4" fillId="33" borderId="11" xfId="65" applyFont="1" applyFill="1" applyBorder="1" applyAlignment="1">
      <alignment horizontal="center" vertical="center"/>
      <protection/>
    </xf>
    <xf numFmtId="0" fontId="5" fillId="37" borderId="12" xfId="65" applyFont="1" applyFill="1" applyBorder="1" applyAlignment="1">
      <alignment horizontal="left" vertical="center"/>
      <protection/>
    </xf>
    <xf numFmtId="0" fontId="0" fillId="33" borderId="13" xfId="0" applyFill="1" applyBorder="1" applyAlignment="1">
      <alignment/>
    </xf>
    <xf numFmtId="3" fontId="5" fillId="34" borderId="16" xfId="0" applyNumberFormat="1" applyFont="1" applyFill="1" applyBorder="1" applyAlignment="1">
      <alignment horizontal="right" vertical="center"/>
    </xf>
    <xf numFmtId="3" fontId="5" fillId="37" borderId="10" xfId="0" applyNumberFormat="1" applyFont="1" applyFill="1" applyBorder="1" applyAlignment="1">
      <alignment horizontal="right" vertical="center"/>
    </xf>
    <xf numFmtId="3" fontId="5" fillId="37" borderId="16" xfId="0" applyNumberFormat="1" applyFont="1" applyFill="1" applyBorder="1" applyAlignment="1">
      <alignment horizontal="right" vertical="center"/>
    </xf>
    <xf numFmtId="0" fontId="5" fillId="0" borderId="13" xfId="65" applyFont="1" applyBorder="1" applyAlignment="1">
      <alignment horizontal="left" vertical="center"/>
      <protection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 vertical="center"/>
    </xf>
    <xf numFmtId="3" fontId="5" fillId="37" borderId="13" xfId="0" applyNumberFormat="1" applyFont="1" applyFill="1" applyBorder="1" applyAlignment="1">
      <alignment horizontal="right" vertical="center"/>
    </xf>
    <xf numFmtId="3" fontId="5" fillId="37" borderId="17" xfId="0" applyNumberFormat="1" applyFont="1" applyFill="1" applyBorder="1" applyAlignment="1">
      <alignment horizontal="right" vertical="center"/>
    </xf>
    <xf numFmtId="165" fontId="5" fillId="34" borderId="16" xfId="0" applyNumberFormat="1" applyFont="1" applyFill="1" applyBorder="1" applyAlignment="1">
      <alignment horizontal="right" vertical="center"/>
    </xf>
    <xf numFmtId="165" fontId="5" fillId="0" borderId="16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165" fontId="5" fillId="34" borderId="10" xfId="0" applyNumberFormat="1" applyFont="1" applyFill="1" applyBorder="1" applyAlignment="1">
      <alignment/>
    </xf>
    <xf numFmtId="165" fontId="5" fillId="34" borderId="16" xfId="0" applyNumberFormat="1" applyFont="1" applyFill="1" applyBorder="1" applyAlignment="1">
      <alignment/>
    </xf>
    <xf numFmtId="165" fontId="5" fillId="0" borderId="13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165" fontId="4" fillId="34" borderId="12" xfId="0" applyNumberFormat="1" applyFont="1" applyFill="1" applyBorder="1" applyAlignment="1">
      <alignment horizontal="right" vertical="center"/>
    </xf>
    <xf numFmtId="165" fontId="4" fillId="34" borderId="10" xfId="0" applyNumberFormat="1" applyFont="1" applyFill="1" applyBorder="1" applyAlignment="1">
      <alignment horizontal="right" vertical="center"/>
    </xf>
    <xf numFmtId="165" fontId="4" fillId="34" borderId="10" xfId="0" applyNumberFormat="1" applyFont="1" applyFill="1" applyBorder="1" applyAlignment="1">
      <alignment/>
    </xf>
    <xf numFmtId="165" fontId="4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 horizontal="right" vertical="center"/>
    </xf>
    <xf numFmtId="3" fontId="5" fillId="34" borderId="19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164" fontId="4" fillId="0" borderId="13" xfId="0" applyNumberFormat="1" applyFont="1" applyBorder="1" applyAlignment="1">
      <alignment/>
    </xf>
    <xf numFmtId="0" fontId="0" fillId="33" borderId="15" xfId="0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4" fillId="34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wrapText="1"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vertical="top" wrapText="1"/>
    </xf>
    <xf numFmtId="0" fontId="0" fillId="0" borderId="0" xfId="54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wrapText="1"/>
    </xf>
    <xf numFmtId="0" fontId="5" fillId="0" borderId="0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center"/>
      <protection/>
    </xf>
    <xf numFmtId="0" fontId="5" fillId="34" borderId="10" xfId="0" applyFont="1" applyFill="1" applyBorder="1" applyAlignment="1">
      <alignment/>
    </xf>
    <xf numFmtId="165" fontId="5" fillId="0" borderId="12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0" fontId="5" fillId="34" borderId="13" xfId="65" applyFont="1" applyFill="1" applyBorder="1" applyAlignment="1">
      <alignment horizontal="left" vertical="center"/>
      <protection/>
    </xf>
    <xf numFmtId="3" fontId="5" fillId="34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64" fontId="5" fillId="34" borderId="14" xfId="0" applyNumberFormat="1" applyFont="1" applyFill="1" applyBorder="1" applyAlignment="1">
      <alignment horizontal="right" vertical="center"/>
    </xf>
    <xf numFmtId="164" fontId="4" fillId="34" borderId="14" xfId="0" applyNumberFormat="1" applyFont="1" applyFill="1" applyBorder="1" applyAlignment="1">
      <alignment horizontal="right" vertical="center"/>
    </xf>
    <xf numFmtId="0" fontId="5" fillId="34" borderId="14" xfId="65" applyFont="1" applyFill="1" applyBorder="1" applyAlignment="1">
      <alignment horizontal="left" vertical="center"/>
      <protection/>
    </xf>
    <xf numFmtId="0" fontId="0" fillId="33" borderId="13" xfId="0" applyFill="1" applyBorder="1" applyAlignment="1">
      <alignment wrapText="1"/>
    </xf>
    <xf numFmtId="0" fontId="5" fillId="0" borderId="16" xfId="0" applyFont="1" applyBorder="1" applyAlignment="1">
      <alignment/>
    </xf>
    <xf numFmtId="0" fontId="5" fillId="34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5" fillId="0" borderId="16" xfId="0" applyNumberFormat="1" applyFont="1" applyFill="1" applyBorder="1" applyAlignment="1">
      <alignment/>
    </xf>
    <xf numFmtId="165" fontId="4" fillId="0" borderId="16" xfId="0" applyNumberFormat="1" applyFont="1" applyFill="1" applyBorder="1" applyAlignment="1">
      <alignment/>
    </xf>
    <xf numFmtId="0" fontId="4" fillId="0" borderId="12" xfId="65" applyFont="1" applyFill="1" applyBorder="1" applyAlignment="1">
      <alignment horizontal="left" vertical="center"/>
      <protection/>
    </xf>
    <xf numFmtId="3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13" fillId="34" borderId="10" xfId="65" applyFont="1" applyFill="1" applyBorder="1" applyAlignment="1">
      <alignment horizontal="left" vertical="center"/>
      <protection/>
    </xf>
    <xf numFmtId="0" fontId="13" fillId="0" borderId="10" xfId="65" applyFont="1" applyBorder="1" applyAlignment="1">
      <alignment horizontal="left" vertical="center"/>
      <protection/>
    </xf>
    <xf numFmtId="0" fontId="13" fillId="35" borderId="10" xfId="65" applyFont="1" applyFill="1" applyBorder="1" applyAlignment="1">
      <alignment horizontal="left" vertical="center"/>
      <protection/>
    </xf>
    <xf numFmtId="164" fontId="5" fillId="35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1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5" fillId="0" borderId="12" xfId="0" applyFont="1" applyBorder="1" applyAlignment="1">
      <alignment horizontal="right"/>
    </xf>
    <xf numFmtId="0" fontId="17" fillId="0" borderId="10" xfId="57" applyFont="1" applyBorder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8" fillId="33" borderId="13" xfId="55" applyFont="1" applyFill="1" applyBorder="1" applyAlignment="1">
      <alignment horizontal="left" vertical="top" wrapText="1"/>
      <protection/>
    </xf>
    <xf numFmtId="0" fontId="8" fillId="33" borderId="14" xfId="55" applyFont="1" applyFill="1" applyBorder="1" applyAlignment="1">
      <alignment horizontal="left" vertical="top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33" borderId="13" xfId="5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4" fillId="33" borderId="0" xfId="5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wrapText="1"/>
    </xf>
    <xf numFmtId="0" fontId="4" fillId="33" borderId="10" xfId="5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wrapText="1"/>
    </xf>
    <xf numFmtId="0" fontId="4" fillId="33" borderId="16" xfId="54" applyFont="1" applyFill="1" applyBorder="1" applyAlignment="1">
      <alignment horizontal="center" vertical="center" wrapText="1"/>
      <protection/>
    </xf>
    <xf numFmtId="0" fontId="5" fillId="33" borderId="16" xfId="0" applyFont="1" applyFill="1" applyBorder="1" applyAlignment="1">
      <alignment wrapText="1"/>
    </xf>
    <xf numFmtId="0" fontId="4" fillId="0" borderId="0" xfId="55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4" fillId="33" borderId="13" xfId="55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8" fillId="33" borderId="12" xfId="55" applyFont="1" applyFill="1" applyBorder="1" applyAlignment="1">
      <alignment horizontal="left" vertical="top" wrapText="1"/>
      <protection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55" applyFont="1" applyFill="1" applyBorder="1" applyAlignment="1">
      <alignment horizont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0" borderId="0" xfId="55" applyFont="1" applyFill="1" applyBorder="1" applyAlignment="1">
      <alignment horizontal="left" vertical="top" wrapText="1"/>
      <protection/>
    </xf>
    <xf numFmtId="0" fontId="4" fillId="33" borderId="16" xfId="0" applyFont="1" applyFill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4" fillId="33" borderId="17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4" fillId="33" borderId="14" xfId="54" applyFont="1" applyFill="1" applyBorder="1" applyAlignment="1">
      <alignment horizontal="center" vertical="center" wrapText="1"/>
      <protection/>
    </xf>
    <xf numFmtId="0" fontId="0" fillId="33" borderId="12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" fillId="33" borderId="2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2" fillId="33" borderId="10" xfId="54" applyFont="1" applyFill="1" applyBorder="1" applyAlignment="1">
      <alignment horizontal="center" vertical="center" wrapText="1"/>
      <protection/>
    </xf>
    <xf numFmtId="0" fontId="12" fillId="33" borderId="14" xfId="54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33" borderId="13" xfId="54" applyFont="1" applyFill="1" applyBorder="1" applyAlignment="1">
      <alignment horizontal="left" vertical="top" wrapText="1"/>
      <protection/>
    </xf>
    <xf numFmtId="0" fontId="5" fillId="33" borderId="14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4" fillId="33" borderId="16" xfId="54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33" borderId="16" xfId="54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eadings_Language" xfId="55"/>
    <cellStyle name="Headings_NS-SeC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Row_CategoryHeadings" xfId="64"/>
    <cellStyle name="Row_Headings" xfId="65"/>
    <cellStyle name="Row_Headings_Language" xfId="66"/>
    <cellStyle name="Row_Headings_NS-SeC" xfId="67"/>
    <cellStyle name="Source" xfId="68"/>
    <cellStyle name="Table_Name" xfId="69"/>
    <cellStyle name="Title" xfId="70"/>
    <cellStyle name="Total" xfId="71"/>
    <cellStyle name="Warning Text" xfId="72"/>
    <cellStyle name="Warnings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Language by Age (Wandsworth) - Selected Languages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525"/>
          <c:w val="0.939"/>
          <c:h val="0.9065"/>
        </c:manualLayout>
      </c:layout>
      <c:barChart>
        <c:barDir val="col"/>
        <c:grouping val="percentStacked"/>
        <c:varyColors val="0"/>
        <c:ser>
          <c:idx val="7"/>
          <c:order val="0"/>
          <c:tx>
            <c:strRef>
              <c:f>Language!$I$55</c:f>
              <c:strCache>
                <c:ptCount val="1"/>
                <c:pt idx="0">
                  <c:v>85 +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(Language!$I$56:$I$57,Language!$I$60,Language!$I$66,Language!$I$73)</c:f>
              <c:numCache/>
            </c:numRef>
          </c:val>
        </c:ser>
        <c:ser>
          <c:idx val="6"/>
          <c:order val="1"/>
          <c:tx>
            <c:strRef>
              <c:f>Language!$H$55</c:f>
              <c:strCache>
                <c:ptCount val="1"/>
                <c:pt idx="0">
                  <c:v>75 to 84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(Language!$H$56:$H$57,Language!$H$60,Language!$H$66,Language!$H$73)</c:f>
              <c:numCache/>
            </c:numRef>
          </c:val>
        </c:ser>
        <c:ser>
          <c:idx val="5"/>
          <c:order val="2"/>
          <c:tx>
            <c:strRef>
              <c:f>Language!$G$55</c:f>
              <c:strCache>
                <c:ptCount val="1"/>
                <c:pt idx="0">
                  <c:v>65 to 74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(Language!$G$56:$G$57,Language!$G$60,Language!$G$66,Language!$G$73)</c:f>
              <c:numCache/>
            </c:numRef>
          </c:val>
        </c:ser>
        <c:ser>
          <c:idx val="4"/>
          <c:order val="3"/>
          <c:tx>
            <c:strRef>
              <c:f>Language!$F$55</c:f>
              <c:strCache>
                <c:ptCount val="1"/>
                <c:pt idx="0">
                  <c:v>50 to 64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(Language!$F$56:$F$57,Language!$F$60,Language!$F$66,Language!$F$73)</c:f>
              <c:numCache/>
            </c:numRef>
          </c:val>
        </c:ser>
        <c:ser>
          <c:idx val="3"/>
          <c:order val="4"/>
          <c:tx>
            <c:strRef>
              <c:f>Language!$E$55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(Language!$E$56:$E$57,Language!$E$60,Language!$E$66,Language!$E$73)</c:f>
              <c:numCache/>
            </c:numRef>
          </c:val>
        </c:ser>
        <c:ser>
          <c:idx val="2"/>
          <c:order val="5"/>
          <c:tx>
            <c:strRef>
              <c:f>Language!$D$55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(Language!$D$56:$D$57,Language!$D$60,Language!$D$66,Language!$D$73)</c:f>
              <c:numCache/>
            </c:numRef>
          </c:val>
        </c:ser>
        <c:ser>
          <c:idx val="1"/>
          <c:order val="6"/>
          <c:tx>
            <c:strRef>
              <c:f>Language!$C$55</c:f>
              <c:strCache>
                <c:ptCount val="1"/>
                <c:pt idx="0">
                  <c:v>16 to 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(Language!$C$56:$C$57,Language!$C$60,Language!$C$66,Language!$C$73)</c:f>
              <c:numCache/>
            </c:numRef>
          </c:val>
        </c:ser>
        <c:ser>
          <c:idx val="0"/>
          <c:order val="7"/>
          <c:tx>
            <c:strRef>
              <c:f>Language!$B$55</c:f>
              <c:strCache>
                <c:ptCount val="1"/>
                <c:pt idx="0">
                  <c:v>3 to 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(Language!$B$56:$B$57,Language!$B$60,Language!$B$66,Language!$B$73)</c:f>
              <c:numCache/>
            </c:numRef>
          </c:val>
        </c:ser>
        <c:overlap val="100"/>
        <c:axId val="30296817"/>
        <c:axId val="4235898"/>
      </c:bar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5898"/>
        <c:crosses val="autoZero"/>
        <c:auto val="1"/>
        <c:lblOffset val="100"/>
        <c:tickLblSkip val="1"/>
        <c:noMultiLvlLbl val="0"/>
      </c:catAx>
      <c:valAx>
        <c:axId val="4235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6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5"/>
          <c:y val="0.3"/>
          <c:w val="0.055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Identity by Age (Wandsworth)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7075"/>
          <c:w val="0.7065"/>
          <c:h val="0.874"/>
        </c:manualLayout>
      </c:layout>
      <c:barChart>
        <c:barDir val="col"/>
        <c:grouping val="percentStacked"/>
        <c:varyColors val="0"/>
        <c:ser>
          <c:idx val="13"/>
          <c:order val="0"/>
          <c:tx>
            <c:strRef>
              <c:f>'National Identity'!$A$37</c:f>
              <c:strCache>
                <c:ptCount val="1"/>
                <c:pt idx="0">
                  <c:v>Other identity and at least one UK identity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Identity'!$B$37:$K$37</c:f>
              <c:numCache/>
            </c:numRef>
          </c:val>
        </c:ser>
        <c:ser>
          <c:idx val="12"/>
          <c:order val="1"/>
          <c:tx>
            <c:strRef>
              <c:f>'National Identity'!$A$36</c:f>
              <c:strCache>
                <c:ptCount val="1"/>
                <c:pt idx="0">
                  <c:v>Other identity only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Identity'!$B$36:$K$36</c:f>
              <c:numCache/>
            </c:numRef>
          </c:val>
        </c:ser>
        <c:ser>
          <c:idx val="11"/>
          <c:order val="2"/>
          <c:tx>
            <c:strRef>
              <c:f>'National Identity'!$A$35</c:f>
              <c:strCache>
                <c:ptCount val="1"/>
                <c:pt idx="0">
                  <c:v>Irish and at least one UK identity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Identity'!$B$35:$K$35</c:f>
              <c:numCache/>
            </c:numRef>
          </c:val>
        </c:ser>
        <c:ser>
          <c:idx val="10"/>
          <c:order val="3"/>
          <c:tx>
            <c:strRef>
              <c:f>'National Identity'!$A$34</c:f>
              <c:strCache>
                <c:ptCount val="1"/>
                <c:pt idx="0">
                  <c:v>Irish only identity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Identity'!$B$34:$K$34</c:f>
              <c:numCache/>
            </c:numRef>
          </c:val>
        </c:ser>
        <c:ser>
          <c:idx val="9"/>
          <c:order val="4"/>
          <c:tx>
            <c:strRef>
              <c:f>'National Identity'!$A$33</c:f>
              <c:strCache>
                <c:ptCount val="1"/>
                <c:pt idx="0">
                  <c:v>Any other combination of UK identities (UK only)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Identity'!$B$33:$K$33</c:f>
              <c:numCache/>
            </c:numRef>
          </c:val>
        </c:ser>
        <c:ser>
          <c:idx val="8"/>
          <c:order val="5"/>
          <c:tx>
            <c:strRef>
              <c:f>'National Identity'!$A$32</c:f>
              <c:strCache>
                <c:ptCount val="1"/>
                <c:pt idx="0">
                  <c:v>Northern Irish and British only identity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Identity'!$B$32:$K$32</c:f>
              <c:numCache/>
            </c:numRef>
          </c:val>
        </c:ser>
        <c:ser>
          <c:idx val="7"/>
          <c:order val="6"/>
          <c:tx>
            <c:strRef>
              <c:f>'National Identity'!$A$31</c:f>
              <c:strCache>
                <c:ptCount val="1"/>
                <c:pt idx="0">
                  <c:v>Northern Irish only identity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Identity'!$B$31:$K$31</c:f>
              <c:numCache/>
            </c:numRef>
          </c:val>
        </c:ser>
        <c:ser>
          <c:idx val="6"/>
          <c:order val="7"/>
          <c:tx>
            <c:strRef>
              <c:f>'National Identity'!$A$30</c:f>
              <c:strCache>
                <c:ptCount val="1"/>
                <c:pt idx="0">
                  <c:v>Scottish and British only identity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Identity'!$B$30:$K$30</c:f>
              <c:numCache/>
            </c:numRef>
          </c:val>
        </c:ser>
        <c:ser>
          <c:idx val="5"/>
          <c:order val="8"/>
          <c:tx>
            <c:strRef>
              <c:f>'National Identity'!$A$29</c:f>
              <c:strCache>
                <c:ptCount val="1"/>
                <c:pt idx="0">
                  <c:v>Scottish only identity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Identity'!$B$29:$K$29</c:f>
              <c:numCache/>
            </c:numRef>
          </c:val>
        </c:ser>
        <c:ser>
          <c:idx val="4"/>
          <c:order val="9"/>
          <c:tx>
            <c:strRef>
              <c:f>'National Identity'!$A$28</c:f>
              <c:strCache>
                <c:ptCount val="1"/>
                <c:pt idx="0">
                  <c:v>Welsh and British only identity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Identity'!$B$28:$K$28</c:f>
              <c:numCache/>
            </c:numRef>
          </c:val>
        </c:ser>
        <c:ser>
          <c:idx val="3"/>
          <c:order val="10"/>
          <c:tx>
            <c:strRef>
              <c:f>'National Identity'!$A$27</c:f>
              <c:strCache>
                <c:ptCount val="1"/>
                <c:pt idx="0">
                  <c:v>Welsh only identity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Identity'!$B$27:$K$27</c:f>
              <c:numCache/>
            </c:numRef>
          </c:val>
        </c:ser>
        <c:ser>
          <c:idx val="2"/>
          <c:order val="11"/>
          <c:tx>
            <c:strRef>
              <c:f>'National Identity'!$A$26</c:f>
              <c:strCache>
                <c:ptCount val="1"/>
                <c:pt idx="0">
                  <c:v>English and British only identity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Identity'!$B$26:$K$26</c:f>
              <c:numCache/>
            </c:numRef>
          </c:val>
        </c:ser>
        <c:ser>
          <c:idx val="1"/>
          <c:order val="12"/>
          <c:tx>
            <c:strRef>
              <c:f>'National Identity'!$A$25</c:f>
              <c:strCache>
                <c:ptCount val="1"/>
                <c:pt idx="0">
                  <c:v>English only identity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Identity'!$B$25:$K$25</c:f>
              <c:numCache/>
            </c:numRef>
          </c:val>
        </c:ser>
        <c:ser>
          <c:idx val="0"/>
          <c:order val="13"/>
          <c:tx>
            <c:strRef>
              <c:f>'National Identity'!$A$24</c:f>
              <c:strCache>
                <c:ptCount val="1"/>
                <c:pt idx="0">
                  <c:v>British only identity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Identity'!$B$24:$K$24</c:f>
              <c:numCache/>
            </c:numRef>
          </c:val>
        </c:ser>
        <c:overlap val="100"/>
        <c:axId val="39112091"/>
        <c:axId val="16464500"/>
      </c:barChart>
      <c:catAx>
        <c:axId val="3911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2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25"/>
          <c:y val="0.08775"/>
          <c:w val="0.27875"/>
          <c:h val="0.8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 Group by Age of Arrival in the UK (Wandsworth)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025"/>
          <c:w val="0.698"/>
          <c:h val="0.82625"/>
        </c:manualLayout>
      </c:layout>
      <c:barChart>
        <c:barDir val="col"/>
        <c:grouping val="percentStacked"/>
        <c:varyColors val="0"/>
        <c:ser>
          <c:idx val="13"/>
          <c:order val="0"/>
          <c:tx>
            <c:strRef>
              <c:f>'Ethnic Group (1)'!$Y$53</c:f>
              <c:strCache>
                <c:ptCount val="1"/>
                <c:pt idx="0">
                  <c:v>Other ethnic group: Total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(1)'!$Z$53:$AG$53</c:f>
              <c:numCache/>
            </c:numRef>
          </c:val>
        </c:ser>
        <c:ser>
          <c:idx val="12"/>
          <c:order val="1"/>
          <c:tx>
            <c:strRef>
              <c:f>'Ethnic Group (1)'!$Y$52</c:f>
              <c:strCache>
                <c:ptCount val="1"/>
                <c:pt idx="0">
                  <c:v>Black/African/Caribbean/Black British: Other Black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(1)'!$Z$52:$AG$52</c:f>
              <c:numCache/>
            </c:numRef>
          </c:val>
        </c:ser>
        <c:ser>
          <c:idx val="11"/>
          <c:order val="2"/>
          <c:tx>
            <c:strRef>
              <c:f>'Ethnic Group (1)'!$Y$51</c:f>
              <c:strCache>
                <c:ptCount val="1"/>
                <c:pt idx="0">
                  <c:v>Black/African/Caribbean/Black British: Caribbean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(1)'!$Z$51:$AG$51</c:f>
              <c:numCache/>
            </c:numRef>
          </c:val>
        </c:ser>
        <c:ser>
          <c:idx val="10"/>
          <c:order val="3"/>
          <c:tx>
            <c:strRef>
              <c:f>'Ethnic Group (1)'!$Y$50</c:f>
              <c:strCache>
                <c:ptCount val="1"/>
                <c:pt idx="0">
                  <c:v>Black/African/Caribbean/Black British: African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(1)'!$Z$50:$AG$50</c:f>
              <c:numCache/>
            </c:numRef>
          </c:val>
        </c:ser>
        <c:ser>
          <c:idx val="9"/>
          <c:order val="4"/>
          <c:tx>
            <c:strRef>
              <c:f>'Ethnic Group (1)'!$Y$48</c:f>
              <c:strCache>
                <c:ptCount val="1"/>
                <c:pt idx="0">
                  <c:v>Asian/Asian British: Other Asian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(1)'!$Z$48:$AG$48</c:f>
              <c:numCache/>
            </c:numRef>
          </c:val>
        </c:ser>
        <c:ser>
          <c:idx val="8"/>
          <c:order val="5"/>
          <c:tx>
            <c:strRef>
              <c:f>'Ethnic Group (1)'!$Y$47</c:f>
              <c:strCache>
                <c:ptCount val="1"/>
                <c:pt idx="0">
                  <c:v>Asian/Asian British: Chinese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(1)'!$Z$47:$AG$47</c:f>
              <c:numCache/>
            </c:numRef>
          </c:val>
        </c:ser>
        <c:ser>
          <c:idx val="7"/>
          <c:order val="6"/>
          <c:tx>
            <c:strRef>
              <c:f>'Ethnic Group (1)'!$Y$46</c:f>
              <c:strCache>
                <c:ptCount val="1"/>
                <c:pt idx="0">
                  <c:v>Asian/Asian British: Bangladeshi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(1)'!$Z$46:$AG$46</c:f>
              <c:numCache/>
            </c:numRef>
          </c:val>
        </c:ser>
        <c:ser>
          <c:idx val="6"/>
          <c:order val="7"/>
          <c:tx>
            <c:strRef>
              <c:f>'Ethnic Group (1)'!$Y$45</c:f>
              <c:strCache>
                <c:ptCount val="1"/>
                <c:pt idx="0">
                  <c:v>Asian/Asian British: Pakistani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(1)'!$Z$45:$AG$45</c:f>
              <c:numCache/>
            </c:numRef>
          </c:val>
        </c:ser>
        <c:ser>
          <c:idx val="5"/>
          <c:order val="8"/>
          <c:tx>
            <c:strRef>
              <c:f>'Ethnic Group (1)'!$Y$44</c:f>
              <c:strCache>
                <c:ptCount val="1"/>
                <c:pt idx="0">
                  <c:v>Asian/Asian British: Indian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(1)'!$Z$44:$AG$44</c:f>
              <c:numCache/>
            </c:numRef>
          </c:val>
        </c:ser>
        <c:ser>
          <c:idx val="4"/>
          <c:order val="9"/>
          <c:tx>
            <c:strRef>
              <c:f>'Ethnic Group (1)'!$Y$42</c:f>
              <c:strCache>
                <c:ptCount val="1"/>
                <c:pt idx="0">
                  <c:v>Mixed/multiple ethnic group: Other Mixed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(1)'!$Z$42:$AG$42</c:f>
              <c:numCache/>
            </c:numRef>
          </c:val>
        </c:ser>
        <c:ser>
          <c:idx val="3"/>
          <c:order val="10"/>
          <c:tx>
            <c:strRef>
              <c:f>'Ethnic Group (1)'!$Y$41</c:f>
              <c:strCache>
                <c:ptCount val="1"/>
                <c:pt idx="0">
                  <c:v>Mixed/multiple ethnic group: White and Asian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(1)'!$Z$41:$AG$41</c:f>
              <c:numCache/>
            </c:numRef>
          </c:val>
        </c:ser>
        <c:ser>
          <c:idx val="2"/>
          <c:order val="11"/>
          <c:tx>
            <c:strRef>
              <c:f>'Ethnic Group (1)'!$Y$40</c:f>
              <c:strCache>
                <c:ptCount val="1"/>
                <c:pt idx="0">
                  <c:v>Mixed/multiple ethnic group: White and Black African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(1)'!$Z$40:$AG$40</c:f>
              <c:numCache/>
            </c:numRef>
          </c:val>
        </c:ser>
        <c:ser>
          <c:idx val="1"/>
          <c:order val="12"/>
          <c:tx>
            <c:strRef>
              <c:f>'Ethnic Group (1)'!$Y$39</c:f>
              <c:strCache>
                <c:ptCount val="1"/>
                <c:pt idx="0">
                  <c:v>Mixed/multiple ethnic group: White and Black Caribbean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(1)'!$Z$39:$AG$39</c:f>
              <c:numCache/>
            </c:numRef>
          </c:val>
        </c:ser>
        <c:ser>
          <c:idx val="0"/>
          <c:order val="13"/>
          <c:tx>
            <c:strRef>
              <c:f>'Ethnic Group (1)'!$Y$33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(1)'!$Z$33:$AG$33</c:f>
              <c:numCache/>
            </c:numRef>
          </c:val>
        </c:ser>
        <c:overlap val="100"/>
        <c:axId val="13962773"/>
        <c:axId val="58556094"/>
      </c:barChart>
      <c:catAx>
        <c:axId val="1396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Arrival in the UK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6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75"/>
          <c:y val="0.14"/>
          <c:w val="0.25925"/>
          <c:h val="0.7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 Group by Age (Wandsworth)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925"/>
          <c:w val="0.65475"/>
          <c:h val="0.89375"/>
        </c:manualLayout>
      </c:layout>
      <c:barChart>
        <c:barDir val="col"/>
        <c:grouping val="percentStacked"/>
        <c:varyColors val="0"/>
        <c:ser>
          <c:idx val="13"/>
          <c:order val="0"/>
          <c:tx>
            <c:strRef>
              <c:f>'Ethnic Group (1)'!$A$53</c:f>
              <c:strCache>
                <c:ptCount val="1"/>
                <c:pt idx="0">
                  <c:v>Other ethnic group: Total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(1)'!$B$53:$K$53</c:f>
              <c:numCache/>
            </c:numRef>
          </c:val>
        </c:ser>
        <c:ser>
          <c:idx val="12"/>
          <c:order val="1"/>
          <c:tx>
            <c:strRef>
              <c:f>'Ethnic Group (1)'!$A$52</c:f>
              <c:strCache>
                <c:ptCount val="1"/>
                <c:pt idx="0">
                  <c:v>Black/African/Caribbean/Black British: Other Black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(1)'!$B$52:$K$52</c:f>
              <c:numCache/>
            </c:numRef>
          </c:val>
        </c:ser>
        <c:ser>
          <c:idx val="11"/>
          <c:order val="2"/>
          <c:tx>
            <c:strRef>
              <c:f>'Ethnic Group (1)'!$A$51</c:f>
              <c:strCache>
                <c:ptCount val="1"/>
                <c:pt idx="0">
                  <c:v>Black/African/Caribbean/Black British: Caribbean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(1)'!$B$51:$K$51</c:f>
              <c:numCache/>
            </c:numRef>
          </c:val>
        </c:ser>
        <c:ser>
          <c:idx val="10"/>
          <c:order val="3"/>
          <c:tx>
            <c:strRef>
              <c:f>'Ethnic Group (1)'!$A$50</c:f>
              <c:strCache>
                <c:ptCount val="1"/>
                <c:pt idx="0">
                  <c:v>Black/African/Caribbean/Black British: African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(1)'!$B$50:$K$50</c:f>
              <c:numCache/>
            </c:numRef>
          </c:val>
        </c:ser>
        <c:ser>
          <c:idx val="9"/>
          <c:order val="4"/>
          <c:tx>
            <c:strRef>
              <c:f>'Ethnic Group (1)'!$A$48</c:f>
              <c:strCache>
                <c:ptCount val="1"/>
                <c:pt idx="0">
                  <c:v>Asian/Asian British: Other Asian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(1)'!$B$48:$K$48</c:f>
              <c:numCache/>
            </c:numRef>
          </c:val>
        </c:ser>
        <c:ser>
          <c:idx val="8"/>
          <c:order val="5"/>
          <c:tx>
            <c:strRef>
              <c:f>'Ethnic Group (1)'!$A$47</c:f>
              <c:strCache>
                <c:ptCount val="1"/>
                <c:pt idx="0">
                  <c:v>Asian/Asian British: Chinese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(1)'!$B$47:$K$47</c:f>
              <c:numCache/>
            </c:numRef>
          </c:val>
        </c:ser>
        <c:ser>
          <c:idx val="7"/>
          <c:order val="6"/>
          <c:tx>
            <c:strRef>
              <c:f>'Ethnic Group (1)'!$A$46</c:f>
              <c:strCache>
                <c:ptCount val="1"/>
                <c:pt idx="0">
                  <c:v>Asian/Asian British: Bangladeshi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(1)'!$B$46:$K$46</c:f>
              <c:numCache/>
            </c:numRef>
          </c:val>
        </c:ser>
        <c:ser>
          <c:idx val="6"/>
          <c:order val="7"/>
          <c:tx>
            <c:strRef>
              <c:f>'Ethnic Group (1)'!$A$45</c:f>
              <c:strCache>
                <c:ptCount val="1"/>
                <c:pt idx="0">
                  <c:v>Asian/Asian British: Pakistani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(1)'!$B$45:$K$45</c:f>
              <c:numCache/>
            </c:numRef>
          </c:val>
        </c:ser>
        <c:ser>
          <c:idx val="5"/>
          <c:order val="8"/>
          <c:tx>
            <c:strRef>
              <c:f>'Ethnic Group (1)'!$A$44</c:f>
              <c:strCache>
                <c:ptCount val="1"/>
                <c:pt idx="0">
                  <c:v>Asian/Asian British: Indian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(1)'!$B$44:$K$44</c:f>
              <c:numCache/>
            </c:numRef>
          </c:val>
        </c:ser>
        <c:ser>
          <c:idx val="4"/>
          <c:order val="9"/>
          <c:tx>
            <c:strRef>
              <c:f>'Ethnic Group (1)'!$A$42</c:f>
              <c:strCache>
                <c:ptCount val="1"/>
                <c:pt idx="0">
                  <c:v>Mixed/multiple ethnic group: Other Mixed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(1)'!$B$42:$K$42</c:f>
              <c:numCache/>
            </c:numRef>
          </c:val>
        </c:ser>
        <c:ser>
          <c:idx val="3"/>
          <c:order val="10"/>
          <c:tx>
            <c:strRef>
              <c:f>'Ethnic Group (1)'!$A$41</c:f>
              <c:strCache>
                <c:ptCount val="1"/>
                <c:pt idx="0">
                  <c:v>Mixed/multiple ethnic group: White and Asian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(1)'!$B$41:$K$41</c:f>
              <c:numCache/>
            </c:numRef>
          </c:val>
        </c:ser>
        <c:ser>
          <c:idx val="2"/>
          <c:order val="11"/>
          <c:tx>
            <c:strRef>
              <c:f>'Ethnic Group (1)'!$A$40</c:f>
              <c:strCache>
                <c:ptCount val="1"/>
                <c:pt idx="0">
                  <c:v>Mixed/multiple ethnic group: White and Black African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(1)'!$B$40:$K$40</c:f>
              <c:numCache/>
            </c:numRef>
          </c:val>
        </c:ser>
        <c:ser>
          <c:idx val="1"/>
          <c:order val="12"/>
          <c:tx>
            <c:strRef>
              <c:f>'Ethnic Group (1)'!$A$39</c:f>
              <c:strCache>
                <c:ptCount val="1"/>
                <c:pt idx="0">
                  <c:v>Mixed/multiple ethnic group: White and Black Caribbean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(1)'!$B$39:$K$39</c:f>
              <c:numCache/>
            </c:numRef>
          </c:val>
        </c:ser>
        <c:ser>
          <c:idx val="0"/>
          <c:order val="13"/>
          <c:tx>
            <c:strRef>
              <c:f>'Ethnic Group (1)'!$A$33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(1)'!$B$33:$K$33</c:f>
              <c:numCache/>
            </c:numRef>
          </c:val>
        </c:ser>
        <c:overlap val="100"/>
        <c:axId val="57242799"/>
        <c:axId val="45423144"/>
      </c:barChart>
      <c:catAx>
        <c:axId val="5724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3144"/>
        <c:crosses val="autoZero"/>
        <c:auto val="1"/>
        <c:lblOffset val="100"/>
        <c:tickLblSkip val="1"/>
        <c:noMultiLvlLbl val="0"/>
      </c:catAx>
      <c:valAx>
        <c:axId val="45423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42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114"/>
          <c:w val="0.329"/>
          <c:h val="0.8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 Group by Religion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55"/>
          <c:w val="0.65575"/>
          <c:h val="0.8895"/>
        </c:manualLayout>
      </c:layout>
      <c:barChart>
        <c:barDir val="col"/>
        <c:grouping val="percentStacked"/>
        <c:varyColors val="0"/>
        <c:ser>
          <c:idx val="13"/>
          <c:order val="0"/>
          <c:tx>
            <c:strRef>
              <c:f>'Ethnic Group (1)'!$M$53</c:f>
              <c:strCache>
                <c:ptCount val="1"/>
                <c:pt idx="0">
                  <c:v>Other ethnic group: Total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(1)'!$N$53:$W$53</c:f>
              <c:numCache/>
            </c:numRef>
          </c:val>
        </c:ser>
        <c:ser>
          <c:idx val="12"/>
          <c:order val="1"/>
          <c:tx>
            <c:strRef>
              <c:f>'Ethnic Group (1)'!$M$52</c:f>
              <c:strCache>
                <c:ptCount val="1"/>
                <c:pt idx="0">
                  <c:v>Black/African/Caribbean/Black British: Other Black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(1)'!$N$52:$W$52</c:f>
              <c:numCache/>
            </c:numRef>
          </c:val>
        </c:ser>
        <c:ser>
          <c:idx val="11"/>
          <c:order val="2"/>
          <c:tx>
            <c:strRef>
              <c:f>'Ethnic Group (1)'!$M$51</c:f>
              <c:strCache>
                <c:ptCount val="1"/>
                <c:pt idx="0">
                  <c:v>Black/African/Caribbean/Black British: Caribbean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(1)'!$N$51:$W$51</c:f>
              <c:numCache/>
            </c:numRef>
          </c:val>
        </c:ser>
        <c:ser>
          <c:idx val="10"/>
          <c:order val="3"/>
          <c:tx>
            <c:strRef>
              <c:f>'Ethnic Group (1)'!$M$50</c:f>
              <c:strCache>
                <c:ptCount val="1"/>
                <c:pt idx="0">
                  <c:v>Black/African/Caribbean/Black British: African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(1)'!$N$50:$W$50</c:f>
              <c:numCache/>
            </c:numRef>
          </c:val>
        </c:ser>
        <c:ser>
          <c:idx val="9"/>
          <c:order val="4"/>
          <c:tx>
            <c:strRef>
              <c:f>'Ethnic Group (1)'!$M$48</c:f>
              <c:strCache>
                <c:ptCount val="1"/>
                <c:pt idx="0">
                  <c:v>Asian/Asian British: Other Asian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(1)'!$N$48:$W$48</c:f>
              <c:numCache/>
            </c:numRef>
          </c:val>
        </c:ser>
        <c:ser>
          <c:idx val="8"/>
          <c:order val="5"/>
          <c:tx>
            <c:strRef>
              <c:f>'Ethnic Group (1)'!$M$47</c:f>
              <c:strCache>
                <c:ptCount val="1"/>
                <c:pt idx="0">
                  <c:v>Asian/Asian British: Chinese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(1)'!$N$47:$W$47</c:f>
              <c:numCache/>
            </c:numRef>
          </c:val>
        </c:ser>
        <c:ser>
          <c:idx val="7"/>
          <c:order val="6"/>
          <c:tx>
            <c:strRef>
              <c:f>'Ethnic Group (1)'!$M$46</c:f>
              <c:strCache>
                <c:ptCount val="1"/>
                <c:pt idx="0">
                  <c:v>Asian/Asian British: Bangladeshi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(1)'!$N$46:$W$46</c:f>
              <c:numCache/>
            </c:numRef>
          </c:val>
        </c:ser>
        <c:ser>
          <c:idx val="6"/>
          <c:order val="7"/>
          <c:tx>
            <c:strRef>
              <c:f>'Ethnic Group (1)'!$M$45</c:f>
              <c:strCache>
                <c:ptCount val="1"/>
                <c:pt idx="0">
                  <c:v>Asian/Asian British: Pakistani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(1)'!$N$45:$W$45</c:f>
              <c:numCache/>
            </c:numRef>
          </c:val>
        </c:ser>
        <c:ser>
          <c:idx val="5"/>
          <c:order val="8"/>
          <c:tx>
            <c:strRef>
              <c:f>'Ethnic Group (1)'!$M$44</c:f>
              <c:strCache>
                <c:ptCount val="1"/>
                <c:pt idx="0">
                  <c:v>Asian/Asian British: Indian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(1)'!$N$44:$W$44</c:f>
              <c:numCache/>
            </c:numRef>
          </c:val>
        </c:ser>
        <c:ser>
          <c:idx val="4"/>
          <c:order val="9"/>
          <c:tx>
            <c:strRef>
              <c:f>'Ethnic Group (1)'!$M$42</c:f>
              <c:strCache>
                <c:ptCount val="1"/>
                <c:pt idx="0">
                  <c:v>Mixed/multiple ethnic group: Other Mixed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(1)'!$N$42:$W$42</c:f>
              <c:numCache/>
            </c:numRef>
          </c:val>
        </c:ser>
        <c:ser>
          <c:idx val="3"/>
          <c:order val="10"/>
          <c:tx>
            <c:strRef>
              <c:f>'Ethnic Group (1)'!$M$41</c:f>
              <c:strCache>
                <c:ptCount val="1"/>
                <c:pt idx="0">
                  <c:v>Mixed/multiple ethnic group: White and Asian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(1)'!$N$41:$W$41</c:f>
              <c:numCache/>
            </c:numRef>
          </c:val>
        </c:ser>
        <c:ser>
          <c:idx val="2"/>
          <c:order val="11"/>
          <c:tx>
            <c:strRef>
              <c:f>'Ethnic Group (1)'!$M$40</c:f>
              <c:strCache>
                <c:ptCount val="1"/>
                <c:pt idx="0">
                  <c:v>Mixed/multiple ethnic group: White and Black African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(1)'!$N$40:$W$40</c:f>
              <c:numCache/>
            </c:numRef>
          </c:val>
        </c:ser>
        <c:ser>
          <c:idx val="1"/>
          <c:order val="12"/>
          <c:tx>
            <c:strRef>
              <c:f>'Ethnic Group (1)'!$M$39</c:f>
              <c:strCache>
                <c:ptCount val="1"/>
                <c:pt idx="0">
                  <c:v>Mixed/multiple ethnic group: White and Black Caribbean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(1)'!$N$39:$W$39</c:f>
              <c:numCache/>
            </c:numRef>
          </c:val>
        </c:ser>
        <c:ser>
          <c:idx val="0"/>
          <c:order val="13"/>
          <c:tx>
            <c:strRef>
              <c:f>'Ethnic Group (1)'!$M$33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(1)'!$N$33:$W$33</c:f>
              <c:numCache/>
            </c:numRef>
          </c:val>
        </c:ser>
        <c:overlap val="100"/>
        <c:axId val="6155113"/>
        <c:axId val="55396018"/>
      </c:barChart>
      <c:catAx>
        <c:axId val="615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6018"/>
        <c:crosses val="autoZero"/>
        <c:auto val="1"/>
        <c:lblOffset val="100"/>
        <c:tickLblSkip val="1"/>
        <c:noMultiLvlLbl val="0"/>
      </c:catAx>
      <c:valAx>
        <c:axId val="55396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25"/>
          <c:y val="0.10375"/>
          <c:w val="0.32875"/>
          <c:h val="0.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 Group by Provision of Unpaid Care (Wandsworth)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825"/>
          <c:w val="0.75075"/>
          <c:h val="0.878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'Ethnic Group (1)'!$AN$32</c:f>
              <c:strCache>
                <c:ptCount val="1"/>
                <c:pt idx="0">
                  <c:v>50+ Hours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(1)'!$AJ$33,'Ethnic Group (1)'!$AJ$39:$AJ$42,'Ethnic Group (1)'!$AJ$44:$AJ$48,'Ethnic Group (1)'!$AJ$50:$AJ$52,'Ethnic Group (1)'!$AJ$53)</c:f>
              <c:strCache/>
            </c:strRef>
          </c:cat>
          <c:val>
            <c:numRef>
              <c:f>('Ethnic Group (1)'!$AN$33,'Ethnic Group (1)'!$AN$39:$AN$42,'Ethnic Group (1)'!$AN$44:$AN$48,'Ethnic Group (1)'!$AN$50:$AN$52,'Ethnic Group (1)'!$AN$53)</c:f>
              <c:numCache/>
            </c:numRef>
          </c:val>
        </c:ser>
        <c:ser>
          <c:idx val="2"/>
          <c:order val="1"/>
          <c:tx>
            <c:strRef>
              <c:f>'Ethnic Group (1)'!$AM$32</c:f>
              <c:strCache>
                <c:ptCount val="1"/>
                <c:pt idx="0">
                  <c:v>20 to 49 Hours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(1)'!$AJ$33,'Ethnic Group (1)'!$AJ$39:$AJ$42,'Ethnic Group (1)'!$AJ$44:$AJ$48,'Ethnic Group (1)'!$AJ$50:$AJ$52,'Ethnic Group (1)'!$AJ$53)</c:f>
              <c:strCache/>
            </c:strRef>
          </c:cat>
          <c:val>
            <c:numRef>
              <c:f>('Ethnic Group (1)'!$AM$33,'Ethnic Group (1)'!$AM$39:$AM$42,'Ethnic Group (1)'!$AM$44:$AM$48,'Ethnic Group (1)'!$AM$50:$AM$52,'Ethnic Group (1)'!$AM$53)</c:f>
              <c:numCache/>
            </c:numRef>
          </c:val>
        </c:ser>
        <c:ser>
          <c:idx val="1"/>
          <c:order val="2"/>
          <c:tx>
            <c:strRef>
              <c:f>'Ethnic Group (1)'!$AL$32</c:f>
              <c:strCache>
                <c:ptCount val="1"/>
                <c:pt idx="0">
                  <c:v>1 to 19 Hours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(1)'!$AJ$33,'Ethnic Group (1)'!$AJ$39:$AJ$42,'Ethnic Group (1)'!$AJ$44:$AJ$48,'Ethnic Group (1)'!$AJ$50:$AJ$52,'Ethnic Group (1)'!$AJ$53)</c:f>
              <c:strCache/>
            </c:strRef>
          </c:cat>
          <c:val>
            <c:numRef>
              <c:f>('Ethnic Group (1)'!$AL$33,'Ethnic Group (1)'!$AL$39:$AL$42,'Ethnic Group (1)'!$AL$44:$AL$48,'Ethnic Group (1)'!$AL$50:$AL$52,'Ethnic Group (1)'!$AL$53)</c:f>
              <c:numCache/>
            </c:numRef>
          </c:val>
        </c:ser>
        <c:ser>
          <c:idx val="0"/>
          <c:order val="3"/>
          <c:tx>
            <c:strRef>
              <c:f>'Ethnic Group (1)'!$AK$32</c:f>
              <c:strCache>
                <c:ptCount val="1"/>
                <c:pt idx="0">
                  <c:v>Provides No Unpaid Care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(1)'!$AJ$33,'Ethnic Group (1)'!$AJ$39:$AJ$42,'Ethnic Group (1)'!$AJ$44:$AJ$48,'Ethnic Group (1)'!$AJ$50:$AJ$52,'Ethnic Group (1)'!$AJ$53)</c:f>
              <c:strCache/>
            </c:strRef>
          </c:cat>
          <c:val>
            <c:numRef>
              <c:f>('Ethnic Group (1)'!$AK$33,'Ethnic Group (1)'!$AK$39:$AK$42,'Ethnic Group (1)'!$AK$44:$AK$48,'Ethnic Group (1)'!$AK$50:$AK$52,'Ethnic Group (1)'!$AK$53)</c:f>
              <c:numCache/>
            </c:numRef>
          </c:val>
        </c:ser>
        <c:overlap val="100"/>
        <c:axId val="28802115"/>
        <c:axId val="57892444"/>
      </c:bar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92444"/>
        <c:crosses val="autoZero"/>
        <c:auto val="1"/>
        <c:lblOffset val="100"/>
        <c:tickLblSkip val="1"/>
        <c:noMultiLvlLbl val="0"/>
      </c:catAx>
      <c:valAx>
        <c:axId val="57892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2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"/>
          <c:y val="0.333"/>
          <c:w val="0.21175"/>
          <c:h val="0.1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Identity  by Ethnic Group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66"/>
          <c:w val="0.7675"/>
          <c:h val="0.915"/>
        </c:manualLayout>
      </c:layout>
      <c:barChart>
        <c:barDir val="col"/>
        <c:grouping val="percentStacked"/>
        <c:varyColors val="0"/>
        <c:ser>
          <c:idx val="13"/>
          <c:order val="0"/>
          <c:tx>
            <c:strRef>
              <c:f>'Ethnic Group (1)'!$BF$63:$BF$64</c:f>
              <c:strCache>
                <c:ptCount val="1"/>
                <c:pt idx="0">
                  <c:v>Other identity and at least one UK identity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(1)'!$BF$65,'Ethnic Group (1)'!$BF$71:$BF$74,'Ethnic Group (1)'!$BF$76:$BF$80,'Ethnic Group (1)'!$BF$82:$BF$85)</c:f>
              <c:numCache/>
            </c:numRef>
          </c:val>
        </c:ser>
        <c:ser>
          <c:idx val="12"/>
          <c:order val="1"/>
          <c:tx>
            <c:strRef>
              <c:f>'Ethnic Group (1)'!$BE$63:$BE$64</c:f>
              <c:strCache>
                <c:ptCount val="1"/>
                <c:pt idx="0">
                  <c:v>Other identity only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(1)'!$BE$65,'Ethnic Group (1)'!$BE$71:$BE$74,'Ethnic Group (1)'!$BE$76:$BE$80,'Ethnic Group (1)'!$BE$82:$BE$85)</c:f>
              <c:numCache/>
            </c:numRef>
          </c:val>
        </c:ser>
        <c:ser>
          <c:idx val="11"/>
          <c:order val="2"/>
          <c:tx>
            <c:strRef>
              <c:f>'Ethnic Group (1)'!$BD$63:$BD$64</c:f>
              <c:strCache>
                <c:ptCount val="1"/>
                <c:pt idx="0">
                  <c:v>Irish and at least one UK identity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(1)'!$BD$65,'Ethnic Group (1)'!$BD$71:$BD$74,'Ethnic Group (1)'!$BD$76:$BD$80,'Ethnic Group (1)'!$BD$82:$BD$85)</c:f>
              <c:numCache/>
            </c:numRef>
          </c:val>
        </c:ser>
        <c:ser>
          <c:idx val="10"/>
          <c:order val="3"/>
          <c:tx>
            <c:strRef>
              <c:f>'Ethnic Group (1)'!$BC$63:$BC$64</c:f>
              <c:strCache>
                <c:ptCount val="1"/>
                <c:pt idx="0">
                  <c:v>Irish only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(1)'!$BC$65,'Ethnic Group (1)'!$BC$71:$BC$74,'Ethnic Group (1)'!$BC$76:$BC$80,'Ethnic Group (1)'!$BC$82:$BC$85)</c:f>
              <c:numCache/>
            </c:numRef>
          </c:val>
        </c:ser>
        <c:ser>
          <c:idx val="9"/>
          <c:order val="4"/>
          <c:tx>
            <c:strRef>
              <c:f>'Ethnic Group (1)'!$BB$63:$BB$64</c:f>
              <c:strCache>
                <c:ptCount val="1"/>
                <c:pt idx="0">
                  <c:v>Any other combination of UK identities (UK only)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(1)'!$BB$65,'Ethnic Group (1)'!$BB$71:$BB$74,'Ethnic Group (1)'!$BB$76:$BB$80,'Ethnic Group (1)'!$BB$82:$BB$85)</c:f>
              <c:numCache/>
            </c:numRef>
          </c:val>
        </c:ser>
        <c:ser>
          <c:idx val="8"/>
          <c:order val="5"/>
          <c:tx>
            <c:strRef>
              <c:f>'Ethnic Group (1)'!$BA$63:$BA$64</c:f>
              <c:strCache>
                <c:ptCount val="1"/>
                <c:pt idx="0">
                  <c:v>Northern Irish and British only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(1)'!$BA$65,'Ethnic Group (1)'!$BA$71:$BA$74,'Ethnic Group (1)'!$BA$76:$BA$80,'Ethnic Group (1)'!$BA$82:$BA$85)</c:f>
              <c:numCache/>
            </c:numRef>
          </c:val>
        </c:ser>
        <c:ser>
          <c:idx val="7"/>
          <c:order val="6"/>
          <c:tx>
            <c:strRef>
              <c:f>'Ethnic Group (1)'!$AZ$63:$AZ$64</c:f>
              <c:strCache>
                <c:ptCount val="1"/>
                <c:pt idx="0">
                  <c:v>Northern Irish only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(1)'!$AZ$65,'Ethnic Group (1)'!$AZ$71:$AZ$74,'Ethnic Group (1)'!$AZ$76:$AZ$80,'Ethnic Group (1)'!$AZ$82:$AZ$85)</c:f>
              <c:numCache/>
            </c:numRef>
          </c:val>
        </c:ser>
        <c:ser>
          <c:idx val="6"/>
          <c:order val="7"/>
          <c:tx>
            <c:strRef>
              <c:f>'Ethnic Group (1)'!$AY$63:$AY$64</c:f>
              <c:strCache>
                <c:ptCount val="1"/>
                <c:pt idx="0">
                  <c:v>Scottish and British only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(1)'!$AY$65,'Ethnic Group (1)'!$AY$71:$AY$74,'Ethnic Group (1)'!$AY$76:$AY$80,'Ethnic Group (1)'!$AY$82:$AY$85)</c:f>
              <c:numCache/>
            </c:numRef>
          </c:val>
        </c:ser>
        <c:ser>
          <c:idx val="5"/>
          <c:order val="8"/>
          <c:tx>
            <c:strRef>
              <c:f>'Ethnic Group (1)'!$AX$63:$AX$64</c:f>
              <c:strCache>
                <c:ptCount val="1"/>
                <c:pt idx="0">
                  <c:v>Scottish only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(1)'!$AX$65,'Ethnic Group (1)'!$AX$71:$AX$74,'Ethnic Group (1)'!$AX$76:$AX$80,'Ethnic Group (1)'!$AX$82:$AX$85)</c:f>
              <c:numCache/>
            </c:numRef>
          </c:val>
        </c:ser>
        <c:ser>
          <c:idx val="4"/>
          <c:order val="9"/>
          <c:tx>
            <c:strRef>
              <c:f>'Ethnic Group (1)'!$AW$63:$AW$64</c:f>
              <c:strCache>
                <c:ptCount val="1"/>
                <c:pt idx="0">
                  <c:v>Welsh and British only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(1)'!$AW$65,'Ethnic Group (1)'!$AW$71:$AW$74,'Ethnic Group (1)'!$AW$76:$AW$80,'Ethnic Group (1)'!$AW$82:$AW$85)</c:f>
              <c:numCache/>
            </c:numRef>
          </c:val>
        </c:ser>
        <c:ser>
          <c:idx val="3"/>
          <c:order val="10"/>
          <c:tx>
            <c:strRef>
              <c:f>'Ethnic Group (1)'!$AV$63:$AV$64</c:f>
              <c:strCache>
                <c:ptCount val="1"/>
                <c:pt idx="0">
                  <c:v>Welsh only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(1)'!$AV$65,'Ethnic Group (1)'!$AV$71:$AV$74,'Ethnic Group (1)'!$AV$76:$AV$80,'Ethnic Group (1)'!$AV$82:$AV$85)</c:f>
              <c:numCache/>
            </c:numRef>
          </c:val>
        </c:ser>
        <c:ser>
          <c:idx val="2"/>
          <c:order val="11"/>
          <c:tx>
            <c:strRef>
              <c:f>'Ethnic Group (1)'!$AU$63:$AU$64</c:f>
              <c:strCache>
                <c:ptCount val="1"/>
                <c:pt idx="0">
                  <c:v>English and British only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(1)'!$AU$65,'Ethnic Group (1)'!$AU$71:$AU$74,'Ethnic Group (1)'!$AU$76:$AU$80,'Ethnic Group (1)'!$AU$82:$AU$85)</c:f>
              <c:numCache/>
            </c:numRef>
          </c:val>
        </c:ser>
        <c:ser>
          <c:idx val="1"/>
          <c:order val="12"/>
          <c:tx>
            <c:strRef>
              <c:f>'Ethnic Group (1)'!$AT$63:$AT$64</c:f>
              <c:strCache>
                <c:ptCount val="1"/>
                <c:pt idx="0">
                  <c:v>English only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(1)'!$AT$65,'Ethnic Group (1)'!$AT$71:$AT$74,'Ethnic Group (1)'!$AT$76:$AT$80,'Ethnic Group (1)'!$AT$82:$AT$85)</c:f>
              <c:numCache/>
            </c:numRef>
          </c:val>
        </c:ser>
        <c:ser>
          <c:idx val="0"/>
          <c:order val="13"/>
          <c:tx>
            <c:strRef>
              <c:f>'Ethnic Group (1)'!$AS$63:$AS$64</c:f>
              <c:strCache>
                <c:ptCount val="1"/>
                <c:pt idx="0">
                  <c:v>British only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(1)'!$AS$65,'Ethnic Group (1)'!$AS$71:$AS$74,'Ethnic Group (1)'!$AS$76:$AS$80,'Ethnic Group (1)'!$AS$82:$AS$85)</c:f>
              <c:numCache/>
            </c:numRef>
          </c:val>
        </c:ser>
        <c:overlap val="100"/>
        <c:axId val="51269949"/>
        <c:axId val="58776358"/>
      </c:bar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6358"/>
        <c:crosses val="autoZero"/>
        <c:auto val="1"/>
        <c:lblOffset val="100"/>
        <c:tickLblSkip val="1"/>
        <c:noMultiLvlLbl val="0"/>
      </c:catAx>
      <c:valAx>
        <c:axId val="58776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9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0325"/>
          <c:w val="0.21725"/>
          <c:h val="0.6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Dependent Children by Ethnic Group of Household Reference Person (HRP) (Wandsworth) 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6325"/>
          <c:w val="0.91375"/>
          <c:h val="0.91825"/>
        </c:manualLayout>
      </c:layout>
      <c:barChart>
        <c:barDir val="col"/>
        <c:grouping val="percentStacked"/>
        <c:varyColors val="0"/>
        <c:ser>
          <c:idx val="9"/>
          <c:order val="0"/>
          <c:tx>
            <c:strRef>
              <c:f>'Ethnic Group (1)'!$BS$32</c:f>
              <c:strCache>
                <c:ptCount val="1"/>
                <c:pt idx="0">
                  <c:v>Age 18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(1)'!$BS$33,'Ethnic Group (1)'!$BS$39:$BS$42,'Ethnic Group (1)'!$BS$44:$BS$48,'Ethnic Group (1)'!$BS$50:$BS$53)</c:f>
              <c:numCache/>
            </c:numRef>
          </c:val>
        </c:ser>
        <c:ser>
          <c:idx val="8"/>
          <c:order val="1"/>
          <c:tx>
            <c:strRef>
              <c:f>'Ethnic Group (1)'!$BR$32</c:f>
              <c:strCache>
                <c:ptCount val="1"/>
                <c:pt idx="0">
                  <c:v>Age 17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(1)'!$BR$33,'Ethnic Group (1)'!$BR$39:$BR$42,'Ethnic Group (1)'!$BR$44:$BR$48,'Ethnic Group (1)'!$BR$50:$BR$53)</c:f>
              <c:numCache/>
            </c:numRef>
          </c:val>
        </c:ser>
        <c:ser>
          <c:idx val="7"/>
          <c:order val="2"/>
          <c:tx>
            <c:strRef>
              <c:f>'Ethnic Group (1)'!$BQ$32</c:f>
              <c:strCache>
                <c:ptCount val="1"/>
                <c:pt idx="0">
                  <c:v>Age 16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(1)'!$BQ$33,'Ethnic Group (1)'!$BQ$39:$BQ$42,'Ethnic Group (1)'!$BQ$44:$BQ$48,'Ethnic Group (1)'!$BQ$50:$BQ$53)</c:f>
              <c:numCache/>
            </c:numRef>
          </c:val>
        </c:ser>
        <c:ser>
          <c:idx val="6"/>
          <c:order val="3"/>
          <c:tx>
            <c:strRef>
              <c:f>'Ethnic Group (1)'!$BP$32</c:f>
              <c:strCache>
                <c:ptCount val="1"/>
                <c:pt idx="0">
                  <c:v>Age 15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(1)'!$BP$33,'Ethnic Group (1)'!$BP$39:$BP$42,'Ethnic Group (1)'!$BP$44:$BP$48,'Ethnic Group (1)'!$BP$50:$BP$53)</c:f>
              <c:numCache/>
            </c:numRef>
          </c:val>
        </c:ser>
        <c:ser>
          <c:idx val="5"/>
          <c:order val="4"/>
          <c:tx>
            <c:strRef>
              <c:f>'Ethnic Group (1)'!$BO$32</c:f>
              <c:strCache>
                <c:ptCount val="1"/>
                <c:pt idx="0">
                  <c:v>Age 12 to 14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(1)'!$BO$33,'Ethnic Group (1)'!$BO$39:$BO$42,'Ethnic Group (1)'!$BO$44:$BO$48,'Ethnic Group (1)'!$BO$50:$BO$53)</c:f>
              <c:numCache/>
            </c:numRef>
          </c:val>
        </c:ser>
        <c:ser>
          <c:idx val="4"/>
          <c:order val="5"/>
          <c:tx>
            <c:strRef>
              <c:f>'Ethnic Group (1)'!$BN$32</c:f>
              <c:strCache>
                <c:ptCount val="1"/>
                <c:pt idx="0">
                  <c:v>Age 10 to 11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(1)'!$BN$33,'Ethnic Group (1)'!$BN$39:$BN$42,'Ethnic Group (1)'!$BN$44:$BN$48,'Ethnic Group (1)'!$BN$50:$BN$53)</c:f>
              <c:numCache/>
            </c:numRef>
          </c:val>
        </c:ser>
        <c:ser>
          <c:idx val="3"/>
          <c:order val="6"/>
          <c:tx>
            <c:strRef>
              <c:f>'Ethnic Group (1)'!$BM$32</c:f>
              <c:strCache>
                <c:ptCount val="1"/>
                <c:pt idx="0">
                  <c:v>Age 8 to 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(1)'!$BM$33,'Ethnic Group (1)'!$BM$39:$BM$42,'Ethnic Group (1)'!$BM$44:$BM$48,'Ethnic Group (1)'!$BM$50:$BM$53)</c:f>
              <c:numCache/>
            </c:numRef>
          </c:val>
        </c:ser>
        <c:ser>
          <c:idx val="2"/>
          <c:order val="7"/>
          <c:tx>
            <c:strRef>
              <c:f>'Ethnic Group (1)'!$BL$32</c:f>
              <c:strCache>
                <c:ptCount val="1"/>
                <c:pt idx="0">
                  <c:v>Age 5 to 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(1)'!$BL$33,'Ethnic Group (1)'!$BL$39:$BL$42,'Ethnic Group (1)'!$BL$44:$BL$48,'Ethnic Group (1)'!$BL$50:$BL$53)</c:f>
              <c:numCache/>
            </c:numRef>
          </c:val>
        </c:ser>
        <c:ser>
          <c:idx val="1"/>
          <c:order val="8"/>
          <c:tx>
            <c:strRef>
              <c:f>'Ethnic Group (1)'!$BK$32</c:f>
              <c:strCache>
                <c:ptCount val="1"/>
                <c:pt idx="0">
                  <c:v>Age 3 to 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(1)'!$BK$33,'Ethnic Group (1)'!$BK$39:$BK$42,'Ethnic Group (1)'!$BK$44:$BK$48,'Ethnic Group (1)'!$BK$50:$BK$53)</c:f>
              <c:numCache/>
            </c:numRef>
          </c:val>
        </c:ser>
        <c:ser>
          <c:idx val="0"/>
          <c:order val="9"/>
          <c:tx>
            <c:strRef>
              <c:f>'Ethnic Group (1)'!$BJ$32</c:f>
              <c:strCache>
                <c:ptCount val="1"/>
                <c:pt idx="0">
                  <c:v>Age 0 to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(1)'!$BJ$33,'Ethnic Group (1)'!$BJ$39:$BJ$42,'Ethnic Group (1)'!$BJ$44:$BJ$48,'Ethnic Group (1)'!$BJ$50:$BJ$53)</c:f>
              <c:numCache/>
            </c:numRef>
          </c:val>
        </c:ser>
        <c:overlap val="100"/>
        <c:axId val="59225175"/>
        <c:axId val="63264528"/>
      </c:bar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64528"/>
        <c:crosses val="autoZero"/>
        <c:auto val="1"/>
        <c:lblOffset val="100"/>
        <c:tickLblSkip val="1"/>
        <c:noMultiLvlLbl val="0"/>
      </c:catAx>
      <c:valAx>
        <c:axId val="63264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5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09125"/>
          <c:w val="0.07125"/>
          <c:h val="0.4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 Group of Dependent Child by Sex (Wandsworth)</a:t>
            </a:r>
          </a:p>
        </c:rich>
      </c:tx>
      <c:layout>
        <c:manualLayout>
          <c:xMode val="factor"/>
          <c:yMode val="factor"/>
          <c:x val="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67"/>
          <c:w val="0.93125"/>
          <c:h val="0.895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'Ethnic Group (1)'!$BX$63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(1)'!$BV$70:$BV$73,'Ethnic Group (1)'!$BV$75:$BV$79,'Ethnic Group (1)'!$BV$81:$BV$83,'Ethnic Group (1)'!$BV$84)</c:f>
              <c:strCache/>
            </c:strRef>
          </c:cat>
          <c:val>
            <c:numRef>
              <c:f>('Ethnic Group (1)'!$BX$70:$BX$73,'Ethnic Group (1)'!$BX$75:$BX$79,'Ethnic Group (1)'!$BX$81:$BX$83,'Ethnic Group (1)'!$BX$84)</c:f>
              <c:numCache/>
            </c:numRef>
          </c:val>
        </c:ser>
        <c:ser>
          <c:idx val="0"/>
          <c:order val="1"/>
          <c:tx>
            <c:strRef>
              <c:f>'Ethnic Group (1)'!$BW$63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(1)'!$BV$70:$BV$73,'Ethnic Group (1)'!$BV$75:$BV$79,'Ethnic Group (1)'!$BV$81:$BV$83,'Ethnic Group (1)'!$BV$84)</c:f>
              <c:strCache/>
            </c:strRef>
          </c:cat>
          <c:val>
            <c:numRef>
              <c:f>('Ethnic Group (1)'!$BW$70:$BW$73,'Ethnic Group (1)'!$BW$75:$BW$79,'Ethnic Group (1)'!$BW$81:$BW$83,'Ethnic Group (1)'!$BW$84)</c:f>
              <c:numCache/>
            </c:numRef>
          </c:val>
        </c:ser>
        <c:overlap val="100"/>
        <c:axId val="32509841"/>
        <c:axId val="24153114"/>
      </c:bar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9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5"/>
          <c:y val="0.3085"/>
          <c:w val="0.054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Persons per Room in Household by Ethnic Group of Household Reference Person (HRP) (Wandsworth)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6725"/>
          <c:w val="0.797"/>
          <c:h val="0.893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'Ethnic Group (1)'!$CE$32</c:f>
              <c:strCache>
                <c:ptCount val="1"/>
                <c:pt idx="0">
                  <c:v>Over 1.5 persons per room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(1)'!$CA$33,'Ethnic Group (1)'!$CA$39:$CA$42,'Ethnic Group (1)'!$CA$44:$CA$48,'Ethnic Group (1)'!$CA$50:$CA$53)</c:f>
              <c:strCache/>
            </c:strRef>
          </c:cat>
          <c:val>
            <c:numRef>
              <c:f>('Ethnic Group (1)'!$CE$33,'Ethnic Group (1)'!$CE$39:$CE$42,'Ethnic Group (1)'!$CE$44:$CE$48,'Ethnic Group (1)'!$CE$50:$CE$53)</c:f>
              <c:numCache/>
            </c:numRef>
          </c:val>
        </c:ser>
        <c:ser>
          <c:idx val="2"/>
          <c:order val="1"/>
          <c:tx>
            <c:strRef>
              <c:f>'Ethnic Group (1)'!$CD$32</c:f>
              <c:strCache>
                <c:ptCount val="1"/>
                <c:pt idx="0">
                  <c:v>Over 1.0 and up to 1.5 persons per room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(1)'!$CA$33,'Ethnic Group (1)'!$CA$39:$CA$42,'Ethnic Group (1)'!$CA$44:$CA$48,'Ethnic Group (1)'!$CA$50:$CA$53)</c:f>
              <c:strCache/>
            </c:strRef>
          </c:cat>
          <c:val>
            <c:numRef>
              <c:f>('Ethnic Group (1)'!$CD$33,'Ethnic Group (1)'!$CD$39:$CD$42,'Ethnic Group (1)'!$CD$44:$CD$48,'Ethnic Group (1)'!$CD$50:$CD$53)</c:f>
              <c:numCache/>
            </c:numRef>
          </c:val>
        </c:ser>
        <c:ser>
          <c:idx val="1"/>
          <c:order val="2"/>
          <c:tx>
            <c:strRef>
              <c:f>'Ethnic Group (1)'!$CC$32</c:f>
              <c:strCache>
                <c:ptCount val="1"/>
                <c:pt idx="0">
                  <c:v>Over 0.5 and up to 1.0 persons per room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(1)'!$CA$33,'Ethnic Group (1)'!$CA$39:$CA$42,'Ethnic Group (1)'!$CA$44:$CA$48,'Ethnic Group (1)'!$CA$50:$CA$53)</c:f>
              <c:strCache/>
            </c:strRef>
          </c:cat>
          <c:val>
            <c:numRef>
              <c:f>('Ethnic Group (1)'!$CC$33,'Ethnic Group (1)'!$CC$39:$CC$42,'Ethnic Group (1)'!$CC$44:$CC$48,'Ethnic Group (1)'!$CC$50:$CC$53)</c:f>
              <c:numCache/>
            </c:numRef>
          </c:val>
        </c:ser>
        <c:ser>
          <c:idx val="0"/>
          <c:order val="3"/>
          <c:tx>
            <c:strRef>
              <c:f>'Ethnic Group (1)'!$CB$32</c:f>
              <c:strCache>
                <c:ptCount val="1"/>
                <c:pt idx="0">
                  <c:v>Up to 0.5 persons per room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(1)'!$CA$33,'Ethnic Group (1)'!$CA$39:$CA$42,'Ethnic Group (1)'!$CA$44:$CA$48,'Ethnic Group (1)'!$CA$50:$CA$53)</c:f>
              <c:strCache/>
            </c:strRef>
          </c:cat>
          <c:val>
            <c:numRef>
              <c:f>('Ethnic Group (1)'!$CB$33,'Ethnic Group (1)'!$CB$39:$CB$42,'Ethnic Group (1)'!$CB$44:$CB$48,'Ethnic Group (1)'!$CB$50:$CB$53)</c:f>
              <c:numCache/>
            </c:numRef>
          </c:val>
        </c:ser>
        <c:overlap val="100"/>
        <c:axId val="16051435"/>
        <c:axId val="10245188"/>
      </c:bar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5188"/>
        <c:crosses val="autoZero"/>
        <c:auto val="1"/>
        <c:lblOffset val="100"/>
        <c:tickLblSkip val="1"/>
        <c:noMultiLvlLbl val="0"/>
      </c:catAx>
      <c:valAx>
        <c:axId val="1024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1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26175"/>
          <c:w val="0.18875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NS-SeC by Ethnic Group (Wandsworth)</a:t>
            </a:r>
          </a:p>
        </c:rich>
      </c:tx>
      <c:layout>
        <c:manualLayout>
          <c:xMode val="factor"/>
          <c:yMode val="factor"/>
          <c:x val="0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5875"/>
          <c:w val="0.7655"/>
          <c:h val="0.89775"/>
        </c:manualLayout>
      </c:layout>
      <c:barChart>
        <c:barDir val="col"/>
        <c:grouping val="percentStacked"/>
        <c:varyColors val="0"/>
        <c:ser>
          <c:idx val="10"/>
          <c:order val="0"/>
          <c:tx>
            <c:strRef>
              <c:f>'Ethnic Group (2)'!$L$35:$L$38</c:f>
              <c:strCache>
                <c:ptCount val="1"/>
                <c:pt idx="0">
                  <c:v>Not classified - L15 Full-time Student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(2)'!$L$39,'Ethnic Group (2)'!$L$45:$L$48,'Ethnic Group (2)'!$L$50:$L$54,'Ethnic Group (2)'!$L$56:$L$59)</c:f>
              <c:numCache/>
            </c:numRef>
          </c:val>
        </c:ser>
        <c:ser>
          <c:idx val="9"/>
          <c:order val="1"/>
          <c:tx>
            <c:strRef>
              <c:f>'Ethnic Group (2)'!$K$35:$K$38</c:f>
              <c:strCache>
                <c:ptCount val="1"/>
                <c:pt idx="0">
                  <c:v>L14.2 Long-term unemployed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(2)'!$K$39,'Ethnic Group (2)'!$K$45:$K$48,'Ethnic Group (2)'!$K$50:$K$54,'Ethnic Group (2)'!$K$56:$K$59)</c:f>
              <c:numCache/>
            </c:numRef>
          </c:val>
        </c:ser>
        <c:ser>
          <c:idx val="8"/>
          <c:order val="2"/>
          <c:tx>
            <c:strRef>
              <c:f>'Ethnic Group (2)'!$J$35:$J$38</c:f>
              <c:strCache>
                <c:ptCount val="1"/>
                <c:pt idx="0">
                  <c:v>L14.1 Never worked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(2)'!$J$39,'Ethnic Group (2)'!$J$45:$J$48,'Ethnic Group (2)'!$J$50:$J$54,'Ethnic Group (2)'!$J$56:$J$59)</c:f>
              <c:numCache/>
            </c:numRef>
          </c:val>
        </c:ser>
        <c:ser>
          <c:idx val="7"/>
          <c:order val="3"/>
          <c:tx>
            <c:strRef>
              <c:f>'Ethnic Group (2)'!$I$35:$I$38</c:f>
              <c:strCache>
                <c:ptCount val="1"/>
                <c:pt idx="0">
                  <c:v>7. Routine occupations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(2)'!$I$39,'Ethnic Group (2)'!$I$45:$I$48,'Ethnic Group (2)'!$I$50:$I$54,'Ethnic Group (2)'!$I$56:$I$59)</c:f>
              <c:numCache/>
            </c:numRef>
          </c:val>
        </c:ser>
        <c:ser>
          <c:idx val="6"/>
          <c:order val="4"/>
          <c:tx>
            <c:strRef>
              <c:f>'Ethnic Group (2)'!$H$35:$H$38</c:f>
              <c:strCache>
                <c:ptCount val="1"/>
                <c:pt idx="0">
                  <c:v>6. Semi-routine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(2)'!$H$39,'Ethnic Group (2)'!$H$45:$H$48,'Ethnic Group (2)'!$H$50:$H$54,'Ethnic Group (2)'!$H$56:$H$59)</c:f>
              <c:numCache/>
            </c:numRef>
          </c:val>
        </c:ser>
        <c:ser>
          <c:idx val="5"/>
          <c:order val="5"/>
          <c:tx>
            <c:strRef>
              <c:f>'Ethnic Group (2)'!$G$35:$G$38</c:f>
              <c:strCache>
                <c:ptCount val="1"/>
                <c:pt idx="0">
                  <c:v>5. Lower supervisory and technical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(2)'!$G$39,'Ethnic Group (2)'!$G$45:$G$48,'Ethnic Group (2)'!$G$50:$G$54,'Ethnic Group (2)'!$G$56:$G$59)</c:f>
              <c:numCache/>
            </c:numRef>
          </c:val>
        </c:ser>
        <c:ser>
          <c:idx val="4"/>
          <c:order val="6"/>
          <c:tx>
            <c:strRef>
              <c:f>'Ethnic Group (2)'!$F$35:$F$38</c:f>
              <c:strCache>
                <c:ptCount val="1"/>
                <c:pt idx="0">
                  <c:v>4. Small employers and own account workers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(2)'!$F$39,'Ethnic Group (2)'!$F$45:$F$48,'Ethnic Group (2)'!$F$50:$F$54,'Ethnic Group (2)'!$F$56:$F$59)</c:f>
              <c:numCache/>
            </c:numRef>
          </c:val>
        </c:ser>
        <c:ser>
          <c:idx val="3"/>
          <c:order val="7"/>
          <c:tx>
            <c:strRef>
              <c:f>'Ethnic Group (2)'!$E$35:$E$38</c:f>
              <c:strCache>
                <c:ptCount val="1"/>
                <c:pt idx="0">
                  <c:v>3. Intermediate occupations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(2)'!$E$39,'Ethnic Group (2)'!$E$45:$E$48,'Ethnic Group (2)'!$E$50:$E$54,'Ethnic Group (2)'!$E$56:$E$59)</c:f>
              <c:numCache/>
            </c:numRef>
          </c:val>
        </c:ser>
        <c:ser>
          <c:idx val="2"/>
          <c:order val="8"/>
          <c:tx>
            <c:strRef>
              <c:f>'Ethnic Group (2)'!$D$35:$D$38</c:f>
              <c:strCache>
                <c:ptCount val="1"/>
                <c:pt idx="0">
                  <c:v>2. Lower managerial, administrative and professional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(2)'!$D$39,'Ethnic Group (2)'!$D$45:$D$48,'Ethnic Group (2)'!$D$50:$D$54,'Ethnic Group (2)'!$D$56:$D$59)</c:f>
              <c:numCache/>
            </c:numRef>
          </c:val>
        </c:ser>
        <c:ser>
          <c:idx val="1"/>
          <c:order val="9"/>
          <c:tx>
            <c:strRef>
              <c:f>'Ethnic Group (2)'!$C$35:$C$38</c:f>
              <c:strCache>
                <c:ptCount val="1"/>
                <c:pt idx="0">
                  <c:v>1.2 Higher 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(2)'!$C$39,'Ethnic Group (2)'!$C$45:$C$48,'Ethnic Group (2)'!$C$50:$C$54,'Ethnic Group (2)'!$C$56:$C$59)</c:f>
              <c:numCache/>
            </c:numRef>
          </c:val>
        </c:ser>
        <c:ser>
          <c:idx val="0"/>
          <c:order val="10"/>
          <c:tx>
            <c:strRef>
              <c:f>'Ethnic Group (2)'!$B$35:$B$38</c:f>
              <c:strCache>
                <c:ptCount val="1"/>
                <c:pt idx="0">
                  <c:v>1.1 Large employers and higher managerial and administrative occupations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(2)'!$B$39,'Ethnic Group (2)'!$B$45:$B$48,'Ethnic Group (2)'!$B$50:$B$54,'Ethnic Group (2)'!$B$56:$B$59)</c:f>
              <c:numCache/>
            </c:numRef>
          </c:val>
        </c:ser>
        <c:overlap val="100"/>
        <c:axId val="25097829"/>
        <c:axId val="24553870"/>
      </c:bar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53870"/>
        <c:crosses val="autoZero"/>
        <c:auto val="1"/>
        <c:lblOffset val="100"/>
        <c:tickLblSkip val="1"/>
        <c:noMultiLvlLbl val="0"/>
      </c:catAx>
      <c:valAx>
        <c:axId val="2455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7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7125"/>
          <c:w val="0.22175"/>
          <c:h val="0.7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of Arrival in the UK by Proficiency in English (Wandsworth)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5375"/>
          <c:w val="0.6935"/>
          <c:h val="0.918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Language!$Q$31</c:f>
              <c:strCache>
                <c:ptCount val="1"/>
                <c:pt idx="0">
                  <c:v>Cannot speak English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Language!$L$34:$L$39</c:f>
              <c:strCache/>
            </c:strRef>
          </c:cat>
          <c:val>
            <c:numRef>
              <c:f>Language!$Q$34:$Q$39</c:f>
              <c:numCache/>
            </c:numRef>
          </c:val>
        </c:ser>
        <c:ser>
          <c:idx val="3"/>
          <c:order val="1"/>
          <c:tx>
            <c:strRef>
              <c:f>Language!$P$31</c:f>
              <c:strCache>
                <c:ptCount val="1"/>
                <c:pt idx="0">
                  <c:v>Cannot speak English well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Language!$L$34:$L$39</c:f>
              <c:strCache/>
            </c:strRef>
          </c:cat>
          <c:val>
            <c:numRef>
              <c:f>Language!$P$34:$P$39</c:f>
              <c:numCache/>
            </c:numRef>
          </c:val>
        </c:ser>
        <c:ser>
          <c:idx val="2"/>
          <c:order val="2"/>
          <c:tx>
            <c:strRef>
              <c:f>Language!$O$31</c:f>
              <c:strCache>
                <c:ptCount val="1"/>
                <c:pt idx="0">
                  <c:v>Can speak English well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Language!$L$34:$L$39</c:f>
              <c:strCache/>
            </c:strRef>
          </c:cat>
          <c:val>
            <c:numRef>
              <c:f>Language!$O$34:$O$39</c:f>
              <c:numCache/>
            </c:numRef>
          </c:val>
        </c:ser>
        <c:ser>
          <c:idx val="1"/>
          <c:order val="3"/>
          <c:tx>
            <c:strRef>
              <c:f>Language!$N$31</c:f>
              <c:strCache>
                <c:ptCount val="1"/>
                <c:pt idx="0">
                  <c:v>Can speak English very well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Language!$L$34:$L$39</c:f>
              <c:strCache/>
            </c:strRef>
          </c:cat>
          <c:val>
            <c:numRef>
              <c:f>Language!$N$34:$N$39</c:f>
              <c:numCache/>
            </c:numRef>
          </c:val>
        </c:ser>
        <c:ser>
          <c:idx val="0"/>
          <c:order val="4"/>
          <c:tx>
            <c:strRef>
              <c:f>Language!$M$31</c:f>
              <c:strCache>
                <c:ptCount val="1"/>
                <c:pt idx="0">
                  <c:v>Main language is English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Language!$L$34:$L$39</c:f>
              <c:strCache/>
            </c:strRef>
          </c:cat>
          <c:val>
            <c:numRef>
              <c:f>Language!$M$34:$M$39</c:f>
              <c:numCache/>
            </c:numRef>
          </c:val>
        </c:ser>
        <c:overlap val="100"/>
        <c:axId val="38123083"/>
        <c:axId val="7563428"/>
      </c:bar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3428"/>
        <c:crosses val="autoZero"/>
        <c:auto val="1"/>
        <c:lblOffset val="100"/>
        <c:tickLblSkip val="1"/>
        <c:noMultiLvlLbl val="0"/>
      </c:catAx>
      <c:valAx>
        <c:axId val="7563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3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"/>
          <c:y val="0.34125"/>
          <c:w val="0.292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Ethnic Group of Household Reference Person (HRP) (Wandsworth)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325"/>
          <c:w val="0.7395"/>
          <c:h val="0.864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'Ethnic Group (2)'!$AR$53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'Ethnic Group (2)'!$AS$33:$BJ$36</c:f>
              <c:multiLvlStrCache/>
            </c:multiLvlStrRef>
          </c:cat>
          <c:val>
            <c:numRef>
              <c:f>'Ethnic Group (2)'!$AS$53:$BJ$53</c:f>
              <c:numCache/>
            </c:numRef>
          </c:val>
        </c:ser>
        <c:ser>
          <c:idx val="4"/>
          <c:order val="1"/>
          <c:tx>
            <c:strRef>
              <c:f>'Ethnic Group (2)'!$AR$50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'Ethnic Group (2)'!$AS$33:$BJ$36</c:f>
              <c:multiLvlStrCache/>
            </c:multiLvlStrRef>
          </c:cat>
          <c:val>
            <c:numRef>
              <c:f>'Ethnic Group (2)'!$AS$50:$BJ$50</c:f>
              <c:numCache/>
            </c:numRef>
          </c:val>
        </c:ser>
        <c:ser>
          <c:idx val="3"/>
          <c:order val="2"/>
          <c:tx>
            <c:strRef>
              <c:f>'Ethnic Group (2)'!$AR$46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'Ethnic Group (2)'!$AS$33:$BJ$36</c:f>
              <c:multiLvlStrCache/>
            </c:multiLvlStrRef>
          </c:cat>
          <c:val>
            <c:numRef>
              <c:f>'Ethnic Group (2)'!$AS$46:$BJ$46</c:f>
              <c:numCache/>
            </c:numRef>
          </c:val>
        </c:ser>
        <c:ser>
          <c:idx val="2"/>
          <c:order val="3"/>
          <c:tx>
            <c:strRef>
              <c:f>'Ethnic Group (2)'!$AR$42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'Ethnic Group (2)'!$AS$33:$BJ$36</c:f>
              <c:multiLvlStrCache/>
            </c:multiLvlStrRef>
          </c:cat>
          <c:val>
            <c:numRef>
              <c:f>'Ethnic Group (2)'!$AS$42:$BJ$42</c:f>
              <c:numCache/>
            </c:numRef>
          </c:val>
        </c:ser>
        <c:ser>
          <c:idx val="1"/>
          <c:order val="4"/>
          <c:tx>
            <c:strRef>
              <c:f>'Ethnic Group (2)'!$AR$41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'Ethnic Group (2)'!$AS$33:$BJ$36</c:f>
              <c:multiLvlStrCache/>
            </c:multiLvlStrRef>
          </c:cat>
          <c:val>
            <c:numRef>
              <c:f>'Ethnic Group (2)'!$AS$41:$BJ$41</c:f>
              <c:numCache/>
            </c:numRef>
          </c:val>
        </c:ser>
        <c:ser>
          <c:idx val="0"/>
          <c:order val="5"/>
          <c:tx>
            <c:strRef>
              <c:f>'Ethnic Group (2)'!$AR$37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'Ethnic Group (2)'!$AS$33:$BJ$36</c:f>
              <c:multiLvlStrCache/>
            </c:multiLvlStrRef>
          </c:cat>
          <c:val>
            <c:numRef>
              <c:f>'Ethnic Group (2)'!$AS$37:$BJ$37</c:f>
              <c:numCache/>
            </c:numRef>
          </c:val>
        </c:ser>
        <c:overlap val="100"/>
        <c:axId val="19658239"/>
        <c:axId val="42706424"/>
      </c:bar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6424"/>
        <c:crosses val="autoZero"/>
        <c:auto val="1"/>
        <c:lblOffset val="100"/>
        <c:tickLblSkip val="1"/>
        <c:noMultiLvlLbl val="0"/>
      </c:catAx>
      <c:valAx>
        <c:axId val="42706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58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22725"/>
          <c:w val="0.24825"/>
          <c:h val="0.4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Country of Birth by Ethnic Group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7425"/>
          <c:w val="0.7725"/>
          <c:h val="0.901"/>
        </c:manualLayout>
      </c:layout>
      <c:barChart>
        <c:barDir val="col"/>
        <c:grouping val="percentStacked"/>
        <c:varyColors val="0"/>
        <c:ser>
          <c:idx val="14"/>
          <c:order val="0"/>
          <c:tx>
            <c:strRef>
              <c:f>'Country of Birth'!$P$41:$P$44</c:f>
              <c:strCache>
                <c:ptCount val="1"/>
                <c:pt idx="0">
                  <c:v>Any other ethnic group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Birth'!$P$46,'Country of Birth'!$P$53:$P$54,'Country of Birth'!$P$59,'Country of Birth'!$P$64,'Country of Birth'!$P$70,'Country of Birth'!$P$73)</c:f>
              <c:numCache/>
            </c:numRef>
          </c:val>
        </c:ser>
        <c:ser>
          <c:idx val="13"/>
          <c:order val="1"/>
          <c:tx>
            <c:strRef>
              <c:f>'Country of Birth'!$O$41:$O$44</c:f>
              <c:strCache>
                <c:ptCount val="1"/>
                <c:pt idx="0">
                  <c:v>Arab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Birth'!$O$46,'Country of Birth'!$O$53:$O$54,'Country of Birth'!$O$59,'Country of Birth'!$O$64,'Country of Birth'!$O$70,'Country of Birth'!$O$73)</c:f>
              <c:numCache/>
            </c:numRef>
          </c:val>
        </c:ser>
        <c:ser>
          <c:idx val="12"/>
          <c:order val="2"/>
          <c:tx>
            <c:strRef>
              <c:f>'Country of Birth'!$N$41:$N$44</c:f>
              <c:strCache>
                <c:ptCount val="1"/>
                <c:pt idx="0">
                  <c:v>Other Black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Birth'!$N$46,'Country of Birth'!$N$53:$N$54,'Country of Birth'!$N$59,'Country of Birth'!$N$64,'Country of Birth'!$N$70,'Country of Birth'!$N$73)</c:f>
              <c:numCache/>
            </c:numRef>
          </c:val>
        </c:ser>
        <c:ser>
          <c:idx val="11"/>
          <c:order val="3"/>
          <c:tx>
            <c:strRef>
              <c:f>'Country of Birth'!$M$41:$M$44</c:f>
              <c:strCache>
                <c:ptCount val="1"/>
                <c:pt idx="0">
                  <c:v>Caribbean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Birth'!$M$46,'Country of Birth'!$M$53:$M$54,'Country of Birth'!$M$59,'Country of Birth'!$M$64,'Country of Birth'!$M$70,'Country of Birth'!$M$73)</c:f>
              <c:numCache/>
            </c:numRef>
          </c:val>
        </c:ser>
        <c:ser>
          <c:idx val="10"/>
          <c:order val="4"/>
          <c:tx>
            <c:strRef>
              <c:f>'Country of Birth'!$L$41:$L$44</c:f>
              <c:strCache>
                <c:ptCount val="1"/>
                <c:pt idx="0">
                  <c:v>African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Birth'!$L$46,'Country of Birth'!$L$53:$L$54,'Country of Birth'!$L$59,'Country of Birth'!$L$64,'Country of Birth'!$L$70,'Country of Birth'!$L$73)</c:f>
              <c:numCache/>
            </c:numRef>
          </c:val>
        </c:ser>
        <c:ser>
          <c:idx val="9"/>
          <c:order val="5"/>
          <c:tx>
            <c:strRef>
              <c:f>'Country of Birth'!$K$41:$K$44</c:f>
              <c:strCache>
                <c:ptCount val="1"/>
                <c:pt idx="0">
                  <c:v>Other Asian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Birth'!$K$46,'Country of Birth'!$K$53:$K$54,'Country of Birth'!$K$59,'Country of Birth'!$K$64,'Country of Birth'!$K$70,'Country of Birth'!$K$73)</c:f>
              <c:numCache/>
            </c:numRef>
          </c:val>
        </c:ser>
        <c:ser>
          <c:idx val="8"/>
          <c:order val="6"/>
          <c:tx>
            <c:strRef>
              <c:f>'Country of Birth'!$J$41:$J$44</c:f>
              <c:strCache>
                <c:ptCount val="1"/>
                <c:pt idx="0">
                  <c:v>Chinese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Birth'!$J$46,'Country of Birth'!$J$53:$J$54,'Country of Birth'!$J$59,'Country of Birth'!$J$64,'Country of Birth'!$J$70,'Country of Birth'!$J$73)</c:f>
              <c:numCache/>
            </c:numRef>
          </c:val>
        </c:ser>
        <c:ser>
          <c:idx val="7"/>
          <c:order val="7"/>
          <c:tx>
            <c:strRef>
              <c:f>'Country of Birth'!$I$41:$I$44</c:f>
              <c:strCache>
                <c:ptCount val="1"/>
                <c:pt idx="0">
                  <c:v>Bangladeshi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Birth'!$I$46,'Country of Birth'!$I$53:$I$54,'Country of Birth'!$I$59,'Country of Birth'!$I$64,'Country of Birth'!$I$70,'Country of Birth'!$I$73)</c:f>
              <c:numCache/>
            </c:numRef>
          </c:val>
        </c:ser>
        <c:ser>
          <c:idx val="6"/>
          <c:order val="8"/>
          <c:tx>
            <c:strRef>
              <c:f>'Country of Birth'!$H$41:$H$44</c:f>
              <c:strCache>
                <c:ptCount val="1"/>
                <c:pt idx="0">
                  <c:v>Pakistani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Birth'!$H$46,'Country of Birth'!$H$53:$H$54,'Country of Birth'!$H$59,'Country of Birth'!$H$64,'Country of Birth'!$H$70,'Country of Birth'!$H$73)</c:f>
              <c:numCache/>
            </c:numRef>
          </c:val>
        </c:ser>
        <c:ser>
          <c:idx val="5"/>
          <c:order val="9"/>
          <c:tx>
            <c:strRef>
              <c:f>'Country of Birth'!$G$41:$G$44</c:f>
              <c:strCache>
                <c:ptCount val="1"/>
                <c:pt idx="0">
                  <c:v>Indian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Birth'!$G$46,'Country of Birth'!$G$53:$G$54,'Country of Birth'!$G$59,'Country of Birth'!$G$64,'Country of Birth'!$G$70,'Country of Birth'!$G$73)</c:f>
              <c:numCache/>
            </c:numRef>
          </c:val>
        </c:ser>
        <c:ser>
          <c:idx val="4"/>
          <c:order val="10"/>
          <c:tx>
            <c:strRef>
              <c:f>'Country of Birth'!$F$41:$F$44</c:f>
              <c:strCache>
                <c:ptCount val="1"/>
                <c:pt idx="0">
                  <c:v>Other Mixed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Birth'!$F$46,'Country of Birth'!$F$53:$F$54,'Country of Birth'!$F$59,'Country of Birth'!$F$64,'Country of Birth'!$F$70,'Country of Birth'!$F$73)</c:f>
              <c:numCache/>
            </c:numRef>
          </c:val>
        </c:ser>
        <c:ser>
          <c:idx val="3"/>
          <c:order val="11"/>
          <c:tx>
            <c:strRef>
              <c:f>'Country of Birth'!$E$41:$E$44</c:f>
              <c:strCache>
                <c:ptCount val="1"/>
                <c:pt idx="0">
                  <c:v>White and Asian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Birth'!$E$46,'Country of Birth'!$E$53:$E$54,'Country of Birth'!$E$59,'Country of Birth'!$E$64,'Country of Birth'!$E$70,'Country of Birth'!$E$73)</c:f>
              <c:numCache/>
            </c:numRef>
          </c:val>
        </c:ser>
        <c:ser>
          <c:idx val="2"/>
          <c:order val="12"/>
          <c:tx>
            <c:strRef>
              <c:f>'Country of Birth'!$D$41:$D$44</c:f>
              <c:strCache>
                <c:ptCount val="1"/>
                <c:pt idx="0">
                  <c:v>White and Black African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Birth'!$D$46,'Country of Birth'!$D$53:$D$54,'Country of Birth'!$D$59,'Country of Birth'!$D$64,'Country of Birth'!$D$70,'Country of Birth'!$D$73)</c:f>
              <c:numCache/>
            </c:numRef>
          </c:val>
        </c:ser>
        <c:ser>
          <c:idx val="1"/>
          <c:order val="13"/>
          <c:tx>
            <c:strRef>
              <c:f>'Country of Birth'!$C$41:$C$44</c:f>
              <c:strCache>
                <c:ptCount val="1"/>
                <c:pt idx="0">
                  <c:v>White and Black Caribbean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Birth'!$C$46,'Country of Birth'!$C$53:$C$54,'Country of Birth'!$C$59,'Country of Birth'!$C$64,'Country of Birth'!$C$70,'Country of Birth'!$C$73)</c:f>
              <c:numCache/>
            </c:numRef>
          </c:val>
        </c:ser>
        <c:ser>
          <c:idx val="0"/>
          <c:order val="14"/>
          <c:tx>
            <c:strRef>
              <c:f>'Country of Birth'!$B$41:$B$44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Birth'!$B$46,'Country of Birth'!$B$53:$B$54,'Country of Birth'!$B$59,'Country of Birth'!$B$64,'Country of Birth'!$B$70,'Country of Birth'!$B$73)</c:f>
              <c:numCache/>
            </c:numRef>
          </c:val>
        </c:ser>
        <c:overlap val="100"/>
        <c:axId val="48813497"/>
        <c:axId val="36668290"/>
      </c:bar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8290"/>
        <c:crosses val="autoZero"/>
        <c:auto val="1"/>
        <c:lblOffset val="100"/>
        <c:tickLblSkip val="1"/>
        <c:noMultiLvlLbl val="0"/>
      </c:catAx>
      <c:valAx>
        <c:axId val="36668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3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24125"/>
          <c:w val="0.21625"/>
          <c:h val="0.4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Country of Birth by Age (Wandsworth)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7125"/>
          <c:w val="0.907"/>
          <c:h val="0.90075"/>
        </c:manualLayout>
      </c:layout>
      <c:barChart>
        <c:barDir val="col"/>
        <c:grouping val="percentStacked"/>
        <c:varyColors val="0"/>
        <c:ser>
          <c:idx val="7"/>
          <c:order val="0"/>
          <c:tx>
            <c:strRef>
              <c:f>'Country of Birth'!$AI$41</c:f>
              <c:strCache>
                <c:ptCount val="1"/>
                <c:pt idx="0">
                  <c:v>85 +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Birth'!$AI$43,'Country of Birth'!$AI$50:$AI$51,'Country of Birth'!$AI$56,'Country of Birth'!$AI$61,'Country of Birth'!$AI$67,'Country of Birth'!$AI$70)</c:f>
              <c:numCache/>
            </c:numRef>
          </c:val>
        </c:ser>
        <c:ser>
          <c:idx val="6"/>
          <c:order val="1"/>
          <c:tx>
            <c:strRef>
              <c:f>'Country of Birth'!$AH$41</c:f>
              <c:strCache>
                <c:ptCount val="1"/>
                <c:pt idx="0">
                  <c:v>75 to 84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Birth'!$AH$43,'Country of Birth'!$AH$50:$AH$51,'Country of Birth'!$AH$56,'Country of Birth'!$AH$61,'Country of Birth'!$AH$67,'Country of Birth'!$AH$70)</c:f>
              <c:numCache/>
            </c:numRef>
          </c:val>
        </c:ser>
        <c:ser>
          <c:idx val="5"/>
          <c:order val="2"/>
          <c:tx>
            <c:strRef>
              <c:f>'Country of Birth'!$AG$41</c:f>
              <c:strCache>
                <c:ptCount val="1"/>
                <c:pt idx="0">
                  <c:v>65 to 74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Birth'!$AG$43,'Country of Birth'!$AG$50:$AG$51,'Country of Birth'!$AG$56,'Country of Birth'!$AG$61,'Country of Birth'!$AG$67,'Country of Birth'!$AG$70)</c:f>
              <c:numCache/>
            </c:numRef>
          </c:val>
        </c:ser>
        <c:ser>
          <c:idx val="4"/>
          <c:order val="3"/>
          <c:tx>
            <c:strRef>
              <c:f>'Country of Birth'!$AF$41</c:f>
              <c:strCache>
                <c:ptCount val="1"/>
                <c:pt idx="0">
                  <c:v>50 to 64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Birth'!$AF$43,'Country of Birth'!$AF$50:$AF$51,'Country of Birth'!$AF$56,'Country of Birth'!$AF$61,'Country of Birth'!$AF$67,'Country of Birth'!$AF$70)</c:f>
              <c:numCache/>
            </c:numRef>
          </c:val>
        </c:ser>
        <c:ser>
          <c:idx val="3"/>
          <c:order val="4"/>
          <c:tx>
            <c:strRef>
              <c:f>'Country of Birth'!$AE$41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Birth'!$AE$43,'Country of Birth'!$AE$50:$AE$51,'Country of Birth'!$AE$56,'Country of Birth'!$AE$61,'Country of Birth'!$AE$67,'Country of Birth'!$AE$70)</c:f>
              <c:numCache/>
            </c:numRef>
          </c:val>
        </c:ser>
        <c:ser>
          <c:idx val="2"/>
          <c:order val="5"/>
          <c:tx>
            <c:strRef>
              <c:f>'Country of Birth'!$AD$41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Birth'!$AD$43,'Country of Birth'!$AD$50:$AD$51,'Country of Birth'!$AD$56,'Country of Birth'!$AD$61,'Country of Birth'!$AD$67,'Country of Birth'!$AD$70)</c:f>
              <c:numCache/>
            </c:numRef>
          </c:val>
        </c:ser>
        <c:ser>
          <c:idx val="1"/>
          <c:order val="6"/>
          <c:tx>
            <c:strRef>
              <c:f>'Country of Birth'!$AC$41</c:f>
              <c:strCache>
                <c:ptCount val="1"/>
                <c:pt idx="0">
                  <c:v>16 to 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Birth'!$AC$43,'Country of Birth'!$AC$50:$AC$51,'Country of Birth'!$AC$56,'Country of Birth'!$AC$61,'Country of Birth'!$AC$67,'Country of Birth'!$AC$70)</c:f>
              <c:numCache/>
            </c:numRef>
          </c:val>
        </c:ser>
        <c:ser>
          <c:idx val="0"/>
          <c:order val="7"/>
          <c:tx>
            <c:strRef>
              <c:f>'Country of Birth'!$AB$41</c:f>
              <c:strCache>
                <c:ptCount val="1"/>
                <c:pt idx="0">
                  <c:v>0 to 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Birth'!$AB$43,'Country of Birth'!$AB$50:$AB$51,'Country of Birth'!$AB$56,'Country of Birth'!$AB$61,'Country of Birth'!$AB$67,'Country of Birth'!$AB$70)</c:f>
              <c:numCache/>
            </c:numRef>
          </c:val>
        </c:ser>
        <c:overlap val="100"/>
        <c:axId val="61579155"/>
        <c:axId val="17341484"/>
      </c:bar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41484"/>
        <c:crosses val="autoZero"/>
        <c:auto val="1"/>
        <c:lblOffset val="100"/>
        <c:tickLblSkip val="1"/>
        <c:noMultiLvlLbl val="0"/>
      </c:catAx>
      <c:valAx>
        <c:axId val="17341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9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5"/>
          <c:y val="0.362"/>
          <c:w val="0.081"/>
          <c:h val="0.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Country of Birth by Age of Arrival in UK (Wandsworth)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875"/>
          <c:w val="0.67825"/>
          <c:h val="0.84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'Country of Birth'!$AL$105</c:f>
              <c:strCache>
                <c:ptCount val="1"/>
                <c:pt idx="0">
                  <c:v>Antarctica and Oceania (including Australasia)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of Birth'!$AM$82:$AT$82</c:f>
              <c:strCache/>
            </c:strRef>
          </c:cat>
          <c:val>
            <c:numRef>
              <c:f>'Country of Birth'!$AM$105:$AT$105</c:f>
              <c:numCache/>
            </c:numRef>
          </c:val>
        </c:ser>
        <c:ser>
          <c:idx val="5"/>
          <c:order val="1"/>
          <c:tx>
            <c:strRef>
              <c:f>'Country of Birth'!$AL$102</c:f>
              <c:strCache>
                <c:ptCount val="1"/>
                <c:pt idx="0">
                  <c:v>The Americas and the Caribbean: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of Birth'!$AM$82:$AT$82</c:f>
              <c:strCache/>
            </c:strRef>
          </c:cat>
          <c:val>
            <c:numRef>
              <c:f>'Country of Birth'!$AM$102:$AT$102</c:f>
              <c:numCache/>
            </c:numRef>
          </c:val>
        </c:ser>
        <c:ser>
          <c:idx val="4"/>
          <c:order val="2"/>
          <c:tx>
            <c:strRef>
              <c:f>'Country of Birth'!$AL$96</c:f>
              <c:strCache>
                <c:ptCount val="1"/>
                <c:pt idx="0">
                  <c:v>Middle East and Asia: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of Birth'!$AM$82:$AT$82</c:f>
              <c:strCache/>
            </c:strRef>
          </c:cat>
          <c:val>
            <c:numRef>
              <c:f>'Country of Birth'!$AM$96:$AT$96</c:f>
              <c:numCache/>
            </c:numRef>
          </c:val>
        </c:ser>
        <c:ser>
          <c:idx val="3"/>
          <c:order val="3"/>
          <c:tx>
            <c:strRef>
              <c:f>'Country of Birth'!$AL$91</c:f>
              <c:strCache>
                <c:ptCount val="1"/>
                <c:pt idx="0">
                  <c:v>Africa: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of Birth'!$AM$82:$AT$82</c:f>
              <c:strCache/>
            </c:strRef>
          </c:cat>
          <c:val>
            <c:numRef>
              <c:f>'Country of Birth'!$AM$91:$AT$91</c:f>
              <c:numCache/>
            </c:numRef>
          </c:val>
        </c:ser>
        <c:ser>
          <c:idx val="2"/>
          <c:order val="4"/>
          <c:tx>
            <c:strRef>
              <c:f>'Country of Birth'!$AL$86</c:f>
              <c:strCache>
                <c:ptCount val="1"/>
                <c:pt idx="0">
                  <c:v>Europe: Other Europe: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of Birth'!$AM$82:$AT$82</c:f>
              <c:strCache/>
            </c:strRef>
          </c:cat>
          <c:val>
            <c:numRef>
              <c:f>'Country of Birth'!$AM$86:$AT$86</c:f>
              <c:numCache/>
            </c:numRef>
          </c:val>
        </c:ser>
        <c:ser>
          <c:idx val="1"/>
          <c:order val="5"/>
          <c:tx>
            <c:strRef>
              <c:f>'Country of Birth'!$AL$85</c:f>
              <c:strCache>
                <c:ptCount val="1"/>
                <c:pt idx="0">
                  <c:v>Europe: Ireland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of Birth'!$AM$82:$AT$82</c:f>
              <c:strCache/>
            </c:strRef>
          </c:cat>
          <c:val>
            <c:numRef>
              <c:f>'Country of Birth'!$AM$85:$AT$85</c:f>
              <c:numCache/>
            </c:numRef>
          </c:val>
        </c:ser>
        <c:ser>
          <c:idx val="0"/>
          <c:order val="6"/>
          <c:tx>
            <c:strRef>
              <c:f>'Country of Birth'!$AL$84</c:f>
              <c:strCache>
                <c:ptCount val="1"/>
                <c:pt idx="0">
                  <c:v>Europe: United Kingdom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of Birth'!$AM$82:$AT$82</c:f>
              <c:strCache/>
            </c:strRef>
          </c:cat>
          <c:val>
            <c:numRef>
              <c:f>'Country of Birth'!$AM$84:$AT$84</c:f>
              <c:numCache/>
            </c:numRef>
          </c:val>
        </c:ser>
        <c:overlap val="100"/>
        <c:axId val="21855629"/>
        <c:axId val="62482934"/>
      </c:barChart>
      <c:catAx>
        <c:axId val="2185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Arrival in UK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82934"/>
        <c:crosses val="autoZero"/>
        <c:auto val="1"/>
        <c:lblOffset val="100"/>
        <c:tickLblSkip val="1"/>
        <c:noMultiLvlLbl val="0"/>
      </c:catAx>
      <c:valAx>
        <c:axId val="62482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5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33775"/>
          <c:w val="0.30975"/>
          <c:h val="0.3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Passports Held by Age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525"/>
          <c:w val="0.702"/>
          <c:h val="0.8635"/>
        </c:manualLayout>
      </c:layout>
      <c:barChart>
        <c:barDir val="col"/>
        <c:grouping val="percentStacked"/>
        <c:varyColors val="0"/>
        <c:ser>
          <c:idx val="12"/>
          <c:order val="0"/>
          <c:tx>
            <c:strRef>
              <c:f>'Passports Held'!$A$55</c:f>
              <c:strCache>
                <c:ptCount val="1"/>
                <c:pt idx="0">
                  <c:v>No passport held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Held'!$B$55:$I$55</c:f>
              <c:numCache/>
            </c:numRef>
          </c:val>
        </c:ser>
        <c:ser>
          <c:idx val="11"/>
          <c:order val="1"/>
          <c:tx>
            <c:strRef>
              <c:f>'Passports Held'!$A$54</c:f>
              <c:strCache>
                <c:ptCount val="1"/>
                <c:pt idx="0">
                  <c:v>Antarctica and Oceania (including Australasia)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Held'!$B$54:$I$54</c:f>
              <c:numCache/>
            </c:numRef>
          </c:val>
        </c:ser>
        <c:ser>
          <c:idx val="10"/>
          <c:order val="2"/>
          <c:tx>
            <c:strRef>
              <c:f>'Passports Held'!$A$53</c:f>
              <c:strCache>
                <c:ptCount val="1"/>
                <c:pt idx="0">
                  <c:v>The Americas and the Caribbean: Central and South America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Held'!$B$53:$I$53</c:f>
              <c:numCache/>
            </c:numRef>
          </c:val>
        </c:ser>
        <c:ser>
          <c:idx val="9"/>
          <c:order val="3"/>
          <c:tx>
            <c:strRef>
              <c:f>'Passports Held'!$A$52</c:f>
              <c:strCache>
                <c:ptCount val="1"/>
                <c:pt idx="0">
                  <c:v>The Americas and the Caribbean: North America and the Caribbean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Held'!$B$52:$I$52</c:f>
              <c:numCache/>
            </c:numRef>
          </c:val>
        </c:ser>
        <c:ser>
          <c:idx val="8"/>
          <c:order val="4"/>
          <c:tx>
            <c:strRef>
              <c:f>'Passports Held'!$A$50</c:f>
              <c:strCache>
                <c:ptCount val="1"/>
                <c:pt idx="0">
                  <c:v>Middle East and Asia: Central Asia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Held'!$B$50:$I$50</c:f>
              <c:numCache/>
            </c:numRef>
          </c:val>
        </c:ser>
        <c:ser>
          <c:idx val="7"/>
          <c:order val="5"/>
          <c:tx>
            <c:strRef>
              <c:f>'Passports Held'!$A$49</c:f>
              <c:strCache>
                <c:ptCount val="1"/>
                <c:pt idx="0">
                  <c:v>Middle East and Asia: South-East Asia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Held'!$B$49:$I$49</c:f>
              <c:numCache/>
            </c:numRef>
          </c:val>
        </c:ser>
        <c:ser>
          <c:idx val="6"/>
          <c:order val="6"/>
          <c:tx>
            <c:strRef>
              <c:f>'Passports Held'!$A$48</c:f>
              <c:strCache>
                <c:ptCount val="1"/>
                <c:pt idx="0">
                  <c:v>Middle East and Asia: Southern Asia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Held'!$B$48:$I$48</c:f>
              <c:numCache/>
            </c:numRef>
          </c:val>
        </c:ser>
        <c:ser>
          <c:idx val="5"/>
          <c:order val="7"/>
          <c:tx>
            <c:strRef>
              <c:f>'Passports Held'!$A$47</c:f>
              <c:strCache>
                <c:ptCount val="1"/>
                <c:pt idx="0">
                  <c:v>Middle East and Asia: Eastern Asia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Held'!$B$47:$I$47</c:f>
              <c:numCache/>
            </c:numRef>
          </c:val>
        </c:ser>
        <c:ser>
          <c:idx val="4"/>
          <c:order val="8"/>
          <c:tx>
            <c:strRef>
              <c:f>'Passports Held'!$A$46</c:f>
              <c:strCache>
                <c:ptCount val="1"/>
                <c:pt idx="0">
                  <c:v>Middle East and Asia: Middle East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Held'!$B$46:$I$46</c:f>
              <c:numCache/>
            </c:numRef>
          </c:val>
        </c:ser>
        <c:ser>
          <c:idx val="3"/>
          <c:order val="9"/>
          <c:tx>
            <c:strRef>
              <c:f>'Passports Held'!$A$44</c:f>
              <c:strCache>
                <c:ptCount val="1"/>
                <c:pt idx="0">
                  <c:v>Africa: South and Eastern Africa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Held'!$B$44:$I$44</c:f>
              <c:numCache/>
            </c:numRef>
          </c:val>
        </c:ser>
        <c:ser>
          <c:idx val="2"/>
          <c:order val="10"/>
          <c:tx>
            <c:strRef>
              <c:f>'Passports Held'!$A$43</c:f>
              <c:strCache>
                <c:ptCount val="1"/>
                <c:pt idx="0">
                  <c:v>Africa: Central and Western Africa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Held'!$B$43:$I$43</c:f>
              <c:numCache/>
            </c:numRef>
          </c:val>
        </c:ser>
        <c:ser>
          <c:idx val="1"/>
          <c:order val="11"/>
          <c:tx>
            <c:strRef>
              <c:f>'Passports Held'!$A$42</c:f>
              <c:strCache>
                <c:ptCount val="1"/>
                <c:pt idx="0">
                  <c:v>Africa: North Africa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Held'!$B$42:$I$42</c:f>
              <c:numCache/>
            </c:numRef>
          </c:val>
        </c:ser>
        <c:ser>
          <c:idx val="0"/>
          <c:order val="12"/>
          <c:tx>
            <c:strRef>
              <c:f>'Passports Held'!$A$33</c:f>
              <c:strCache>
                <c:ptCount val="1"/>
                <c:pt idx="0">
                  <c:v>Europe: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Held'!$B$33:$I$33</c:f>
              <c:numCache/>
            </c:numRef>
          </c:val>
        </c:ser>
        <c:overlap val="100"/>
        <c:axId val="25475495"/>
        <c:axId val="27952864"/>
      </c:bar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2864"/>
        <c:crosses val="autoZero"/>
        <c:auto val="1"/>
        <c:lblOffset val="100"/>
        <c:tickLblSkip val="1"/>
        <c:noMultiLvlLbl val="0"/>
      </c:catAx>
      <c:valAx>
        <c:axId val="27952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5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25"/>
          <c:y val="0.0695"/>
          <c:w val="0.287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Proficiency in English by Age (Wandsworth)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475"/>
          <c:w val="0.8995"/>
          <c:h val="0.884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Language!$U$21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Language!$V$14:$AA$15</c:f>
              <c:multiLvlStrCache/>
            </c:multiLvlStrRef>
          </c:cat>
          <c:val>
            <c:numRef>
              <c:f>Language!$V$21:$AA$21</c:f>
              <c:numCache/>
            </c:numRef>
          </c:val>
        </c:ser>
        <c:ser>
          <c:idx val="4"/>
          <c:order val="1"/>
          <c:tx>
            <c:strRef>
              <c:f>Language!$U$20</c:f>
              <c:strCache>
                <c:ptCount val="1"/>
                <c:pt idx="0">
                  <c:v>50 to 64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Language!$V$14:$AA$15</c:f>
              <c:multiLvlStrCache/>
            </c:multiLvlStrRef>
          </c:cat>
          <c:val>
            <c:numRef>
              <c:f>Language!$V$20:$AA$20</c:f>
              <c:numCache/>
            </c:numRef>
          </c:val>
        </c:ser>
        <c:ser>
          <c:idx val="3"/>
          <c:order val="2"/>
          <c:tx>
            <c:strRef>
              <c:f>Language!$U$19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Language!$V$14:$AA$15</c:f>
              <c:multiLvlStrCache/>
            </c:multiLvlStrRef>
          </c:cat>
          <c:val>
            <c:numRef>
              <c:f>Language!$V$19:$AA$19</c:f>
              <c:numCache/>
            </c:numRef>
          </c:val>
        </c:ser>
        <c:ser>
          <c:idx val="2"/>
          <c:order val="3"/>
          <c:tx>
            <c:strRef>
              <c:f>Language!$U$18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Language!$V$14:$AA$15</c:f>
              <c:multiLvlStrCache/>
            </c:multiLvlStrRef>
          </c:cat>
          <c:val>
            <c:numRef>
              <c:f>Language!$V$18:$AA$18</c:f>
              <c:numCache/>
            </c:numRef>
          </c:val>
        </c:ser>
        <c:ser>
          <c:idx val="1"/>
          <c:order val="4"/>
          <c:tx>
            <c:strRef>
              <c:f>Language!$U$17</c:f>
              <c:strCache>
                <c:ptCount val="1"/>
                <c:pt idx="0">
                  <c:v>16 to 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Language!$V$14:$AA$15</c:f>
              <c:multiLvlStrCache/>
            </c:multiLvlStrRef>
          </c:cat>
          <c:val>
            <c:numRef>
              <c:f>Language!$V$17:$AA$17</c:f>
              <c:numCache/>
            </c:numRef>
          </c:val>
        </c:ser>
        <c:ser>
          <c:idx val="0"/>
          <c:order val="5"/>
          <c:tx>
            <c:strRef>
              <c:f>Language!$U$16</c:f>
              <c:strCache>
                <c:ptCount val="1"/>
                <c:pt idx="0">
                  <c:v>3 to 15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Language!$V$14:$AA$15</c:f>
              <c:multiLvlStrCache/>
            </c:multiLvlStrRef>
          </c:cat>
          <c:val>
            <c:numRef>
              <c:f>Language!$V$16:$AA$16</c:f>
              <c:numCache/>
            </c:numRef>
          </c:val>
        </c:ser>
        <c:overlap val="100"/>
        <c:axId val="961989"/>
        <c:axId val="8657902"/>
      </c:barChart>
      <c:catAx>
        <c:axId val="96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38525"/>
          <c:w val="0.0822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Proficiency in English by Occupation (Wandsworth)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76"/>
          <c:w val="0.64575"/>
          <c:h val="0.8897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Language!$AD$29</c:f>
              <c:strCache>
                <c:ptCount val="1"/>
                <c:pt idx="0">
                  <c:v>9. Elementary occupations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Language!$AE$29:$AH$29</c:f>
              <c:numCache/>
            </c:numRef>
          </c:val>
        </c:ser>
        <c:ser>
          <c:idx val="7"/>
          <c:order val="1"/>
          <c:tx>
            <c:strRef>
              <c:f>Language!$AD$28</c:f>
              <c:strCache>
                <c:ptCount val="1"/>
                <c:pt idx="0">
                  <c:v>8. Process, plant and machine operatives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Language!$AE$28:$AH$28</c:f>
              <c:numCache/>
            </c:numRef>
          </c:val>
        </c:ser>
        <c:ser>
          <c:idx val="6"/>
          <c:order val="2"/>
          <c:tx>
            <c:strRef>
              <c:f>Language!$AD$27</c:f>
              <c:strCache>
                <c:ptCount val="1"/>
                <c:pt idx="0">
                  <c:v>7. Sales and customer service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Language!$AE$27:$AH$27</c:f>
              <c:numCache/>
            </c:numRef>
          </c:val>
        </c:ser>
        <c:ser>
          <c:idx val="5"/>
          <c:order val="3"/>
          <c:tx>
            <c:strRef>
              <c:f>Language!$AD$26</c:f>
              <c:strCache>
                <c:ptCount val="1"/>
                <c:pt idx="0">
                  <c:v>6. Caring, leisure and other service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Language!$AE$26:$AH$26</c:f>
              <c:numCache/>
            </c:numRef>
          </c:val>
        </c:ser>
        <c:ser>
          <c:idx val="4"/>
          <c:order val="4"/>
          <c:tx>
            <c:strRef>
              <c:f>Language!$AD$25</c:f>
              <c:strCache>
                <c:ptCount val="1"/>
                <c:pt idx="0">
                  <c:v>5. Skilled trades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Language!$AE$25:$AH$25</c:f>
              <c:numCache/>
            </c:numRef>
          </c:val>
        </c:ser>
        <c:ser>
          <c:idx val="3"/>
          <c:order val="5"/>
          <c:tx>
            <c:strRef>
              <c:f>Language!$AD$24</c:f>
              <c:strCache>
                <c:ptCount val="1"/>
                <c:pt idx="0">
                  <c:v>4. Administrative and secretarial occupations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Language!$AE$24:$AH$24</c:f>
              <c:numCache/>
            </c:numRef>
          </c:val>
        </c:ser>
        <c:ser>
          <c:idx val="2"/>
          <c:order val="6"/>
          <c:tx>
            <c:strRef>
              <c:f>Language!$AD$23</c:f>
              <c:strCache>
                <c:ptCount val="1"/>
                <c:pt idx="0">
                  <c:v>3. Associate professional and technical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Language!$AE$23:$AH$23</c:f>
              <c:numCache/>
            </c:numRef>
          </c:val>
        </c:ser>
        <c:ser>
          <c:idx val="1"/>
          <c:order val="7"/>
          <c:tx>
            <c:strRef>
              <c:f>Language!$AD$22</c:f>
              <c:strCache>
                <c:ptCount val="1"/>
                <c:pt idx="0">
                  <c:v>2. 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Language!$AE$22:$AH$22</c:f>
              <c:numCache/>
            </c:numRef>
          </c:val>
        </c:ser>
        <c:ser>
          <c:idx val="0"/>
          <c:order val="8"/>
          <c:tx>
            <c:strRef>
              <c:f>Language!$AD$21</c:f>
              <c:strCache>
                <c:ptCount val="1"/>
                <c:pt idx="0">
                  <c:v>1. Managers, directors and senior officials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Language!$AE$21:$AH$21</c:f>
              <c:numCache/>
            </c:numRef>
          </c:val>
        </c:ser>
        <c:overlap val="100"/>
        <c:axId val="10812255"/>
        <c:axId val="30201432"/>
      </c:bar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193"/>
          <c:w val="0.33475"/>
          <c:h val="0.5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Religion by Age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75"/>
          <c:w val="0.8915"/>
          <c:h val="0.8517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Religion!$A$27</c:f>
              <c:strCache>
                <c:ptCount val="1"/>
                <c:pt idx="0">
                  <c:v>Religion Not Stated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Religion!$B$27:$K$27</c:f>
              <c:numCache/>
            </c:numRef>
          </c:val>
        </c:ser>
        <c:ser>
          <c:idx val="7"/>
          <c:order val="1"/>
          <c:tx>
            <c:strRef>
              <c:f>Religion!$A$26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Religion!$B$26:$K$26</c:f>
              <c:numCache/>
            </c:numRef>
          </c:val>
        </c:ser>
        <c:ser>
          <c:idx val="6"/>
          <c:order val="2"/>
          <c:tx>
            <c:strRef>
              <c:f>Religion!$A$25</c:f>
              <c:strCache>
                <c:ptCount val="1"/>
                <c:pt idx="0">
                  <c:v>Other Religion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Religion!$B$25:$K$25</c:f>
              <c:numCache/>
            </c:numRef>
          </c:val>
        </c:ser>
        <c:ser>
          <c:idx val="5"/>
          <c:order val="3"/>
          <c:tx>
            <c:strRef>
              <c:f>Religion!$A$24</c:f>
              <c:strCache>
                <c:ptCount val="1"/>
                <c:pt idx="0">
                  <c:v>Sikh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Religion!$B$24:$K$24</c:f>
              <c:numCache/>
            </c:numRef>
          </c:val>
        </c:ser>
        <c:ser>
          <c:idx val="4"/>
          <c:order val="4"/>
          <c:tx>
            <c:strRef>
              <c:f>Religion!$A$23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Religion!$B$23:$K$23</c:f>
              <c:numCache/>
            </c:numRef>
          </c:val>
        </c:ser>
        <c:ser>
          <c:idx val="3"/>
          <c:order val="5"/>
          <c:tx>
            <c:strRef>
              <c:f>Religion!$A$22</c:f>
              <c:strCache>
                <c:ptCount val="1"/>
                <c:pt idx="0">
                  <c:v>Jewish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Religion!$B$22:$K$22</c:f>
              <c:numCache/>
            </c:numRef>
          </c:val>
        </c:ser>
        <c:ser>
          <c:idx val="2"/>
          <c:order val="6"/>
          <c:tx>
            <c:strRef>
              <c:f>Religion!$A$21</c:f>
              <c:strCache>
                <c:ptCount val="1"/>
                <c:pt idx="0">
                  <c:v>Hindu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Religion!$B$21:$K$21</c:f>
              <c:numCache/>
            </c:numRef>
          </c:val>
        </c:ser>
        <c:ser>
          <c:idx val="1"/>
          <c:order val="7"/>
          <c:tx>
            <c:strRef>
              <c:f>Religion!$A$20</c:f>
              <c:strCache>
                <c:ptCount val="1"/>
                <c:pt idx="0">
                  <c:v>Buddhist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Religion!$B$20:$K$20</c:f>
              <c:numCache/>
            </c:numRef>
          </c:val>
        </c:ser>
        <c:ser>
          <c:idx val="0"/>
          <c:order val="8"/>
          <c:tx>
            <c:strRef>
              <c:f>Religion!$A$19</c:f>
              <c:strCache>
                <c:ptCount val="1"/>
                <c:pt idx="0">
                  <c:v>Christian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Religion!$B$19:$K$19</c:f>
              <c:numCache/>
            </c:numRef>
          </c:val>
        </c:ser>
        <c:overlap val="100"/>
        <c:axId val="3377433"/>
        <c:axId val="30396898"/>
      </c:barChart>
      <c:catAx>
        <c:axId val="3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269"/>
          <c:w val="0.09375"/>
          <c:h val="0.4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NS-SeC by Religion (Wandsworth)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75"/>
          <c:w val="0.678"/>
          <c:h val="0.868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Religion!$M$38</c:f>
              <c:strCache>
                <c:ptCount val="1"/>
                <c:pt idx="0">
                  <c:v>Not classified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Religion!$N$38:$W$38</c:f>
              <c:numCache/>
            </c:numRef>
          </c:val>
        </c:ser>
        <c:ser>
          <c:idx val="7"/>
          <c:order val="1"/>
          <c:tx>
            <c:strRef>
              <c:f>Religion!$M$35</c:f>
              <c:strCache>
                <c:ptCount val="1"/>
                <c:pt idx="0">
                  <c:v>8. Never worked and long-term unemployed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Religion!$N$35:$W$35</c:f>
              <c:numCache/>
            </c:numRef>
          </c:val>
        </c:ser>
        <c:ser>
          <c:idx val="6"/>
          <c:order val="2"/>
          <c:tx>
            <c:strRef>
              <c:f>Religion!$M$34</c:f>
              <c:strCache>
                <c:ptCount val="1"/>
                <c:pt idx="0">
                  <c:v>7. Routine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Religion!$N$34:$W$34</c:f>
              <c:numCache/>
            </c:numRef>
          </c:val>
        </c:ser>
        <c:ser>
          <c:idx val="5"/>
          <c:order val="3"/>
          <c:tx>
            <c:strRef>
              <c:f>Religion!$M$33</c:f>
              <c:strCache>
                <c:ptCount val="1"/>
                <c:pt idx="0">
                  <c:v>6. Semi-routine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Religion!$N$33:$W$33</c:f>
              <c:numCache/>
            </c:numRef>
          </c:val>
        </c:ser>
        <c:ser>
          <c:idx val="4"/>
          <c:order val="4"/>
          <c:tx>
            <c:strRef>
              <c:f>Religion!$M$32</c:f>
              <c:strCache>
                <c:ptCount val="1"/>
                <c:pt idx="0">
                  <c:v>5. Lower supervisory and technical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Religion!$N$32:$W$32</c:f>
              <c:numCache/>
            </c:numRef>
          </c:val>
        </c:ser>
        <c:ser>
          <c:idx val="3"/>
          <c:order val="5"/>
          <c:tx>
            <c:strRef>
              <c:f>Religion!$M$31</c:f>
              <c:strCache>
                <c:ptCount val="1"/>
                <c:pt idx="0">
                  <c:v>4. Small employers and own account workers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Religion!$N$31:$W$31</c:f>
              <c:numCache/>
            </c:numRef>
          </c:val>
        </c:ser>
        <c:ser>
          <c:idx val="2"/>
          <c:order val="6"/>
          <c:tx>
            <c:strRef>
              <c:f>Religion!$M$30</c:f>
              <c:strCache>
                <c:ptCount val="1"/>
                <c:pt idx="0">
                  <c:v>3. Intermediate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Religion!$N$30:$W$30</c:f>
              <c:numCache/>
            </c:numRef>
          </c:val>
        </c:ser>
        <c:ser>
          <c:idx val="1"/>
          <c:order val="7"/>
          <c:tx>
            <c:strRef>
              <c:f>Religion!$M$29</c:f>
              <c:strCache>
                <c:ptCount val="1"/>
                <c:pt idx="0">
                  <c:v>2. Lower managerial, administrative and 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Religion!$N$29:$W$29</c:f>
              <c:numCache/>
            </c:numRef>
          </c:val>
        </c:ser>
        <c:ser>
          <c:idx val="0"/>
          <c:order val="8"/>
          <c:tx>
            <c:strRef>
              <c:f>Religion!$M$26</c:f>
              <c:strCache>
                <c:ptCount val="1"/>
                <c:pt idx="0">
                  <c:v>1. Higher managerial, administrative and professional occupations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Religion!$N$26:$W$26</c:f>
              <c:numCache/>
            </c:numRef>
          </c:val>
        </c:ser>
        <c:overlap val="100"/>
        <c:axId val="5136627"/>
        <c:axId val="46229644"/>
      </c:barChart>
      <c:catAx>
        <c:axId val="51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6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25"/>
          <c:y val="0.194"/>
          <c:w val="0.30775"/>
          <c:h val="0.7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Country of Birth by Religion (Wandsworth) 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9525"/>
          <c:w val="0.827"/>
          <c:h val="0.811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Religion!$AW$36</c:f>
              <c:strCache>
                <c:ptCount val="1"/>
                <c:pt idx="0">
                  <c:v>Antarctica and Oceania (including Australasia)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Religion!$AX$7:$BG$7</c:f>
              <c:strCache/>
            </c:strRef>
          </c:cat>
          <c:val>
            <c:numRef>
              <c:f>Religion!$AX$36:$BG$36</c:f>
              <c:numCache/>
            </c:numRef>
          </c:val>
        </c:ser>
        <c:ser>
          <c:idx val="3"/>
          <c:order val="1"/>
          <c:tx>
            <c:strRef>
              <c:f>Religion!$AW$33</c:f>
              <c:strCache>
                <c:ptCount val="1"/>
                <c:pt idx="0">
                  <c:v>The Americas and the Caribbean: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Religion!$AX$7:$BG$7</c:f>
              <c:strCache/>
            </c:strRef>
          </c:cat>
          <c:val>
            <c:numRef>
              <c:f>Religion!$AX$33:$BG$33</c:f>
              <c:numCache/>
            </c:numRef>
          </c:val>
        </c:ser>
        <c:ser>
          <c:idx val="2"/>
          <c:order val="2"/>
          <c:tx>
            <c:strRef>
              <c:f>Religion!$AW$27</c:f>
              <c:strCache>
                <c:ptCount val="1"/>
                <c:pt idx="0">
                  <c:v>Middle East and Asia: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Religion!$AX$7:$BG$7</c:f>
              <c:strCache/>
            </c:strRef>
          </c:cat>
          <c:val>
            <c:numRef>
              <c:f>Religion!$AX$27:$BG$27</c:f>
              <c:numCache/>
            </c:numRef>
          </c:val>
        </c:ser>
        <c:ser>
          <c:idx val="1"/>
          <c:order val="3"/>
          <c:tx>
            <c:strRef>
              <c:f>Religion!$AW$22</c:f>
              <c:strCache>
                <c:ptCount val="1"/>
                <c:pt idx="0">
                  <c:v>Africa: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Religion!$AX$7:$BG$7</c:f>
              <c:strCache/>
            </c:strRef>
          </c:cat>
          <c:val>
            <c:numRef>
              <c:f>Religion!$AX$22:$BG$22</c:f>
              <c:numCache/>
            </c:numRef>
          </c:val>
        </c:ser>
        <c:ser>
          <c:idx val="0"/>
          <c:order val="4"/>
          <c:tx>
            <c:strRef>
              <c:f>Religion!$AW$8</c:f>
              <c:strCache>
                <c:ptCount val="1"/>
                <c:pt idx="0">
                  <c:v>Europe: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Religion!$AX$7:$BG$7</c:f>
              <c:strCache/>
            </c:strRef>
          </c:cat>
          <c:val>
            <c:numRef>
              <c:f>Religion!$AX$8:$BG$8</c:f>
              <c:numCache/>
            </c:numRef>
          </c:val>
        </c:ser>
        <c:overlap val="100"/>
        <c:axId val="13413613"/>
        <c:axId val="53613654"/>
      </c:bar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13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13225"/>
          <c:w val="0.16175"/>
          <c:h val="0.6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Country of Birth by Religion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4"/>
          <c:w val="0.6505"/>
          <c:h val="0.889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Religion!$BI$45</c:f>
              <c:strCache>
                <c:ptCount val="1"/>
                <c:pt idx="0">
                  <c:v>Economically inactive: Other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Religion!$BJ$45:$BS$45</c:f>
              <c:numCache/>
            </c:numRef>
          </c:val>
        </c:ser>
        <c:ser>
          <c:idx val="7"/>
          <c:order val="1"/>
          <c:tx>
            <c:strRef>
              <c:f>Religion!$BI$44</c:f>
              <c:strCache>
                <c:ptCount val="1"/>
                <c:pt idx="0">
                  <c:v>Economically inactive: Long-term sick or disabled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Religion!$BJ$44:$BS$44</c:f>
              <c:numCache/>
            </c:numRef>
          </c:val>
        </c:ser>
        <c:ser>
          <c:idx val="6"/>
          <c:order val="2"/>
          <c:tx>
            <c:strRef>
              <c:f>Religion!$BI$43</c:f>
              <c:strCache>
                <c:ptCount val="1"/>
                <c:pt idx="0">
                  <c:v>Economically inactive: Looking after home or family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Religion!$BJ$43:$BS$43</c:f>
              <c:numCache/>
            </c:numRef>
          </c:val>
        </c:ser>
        <c:ser>
          <c:idx val="5"/>
          <c:order val="3"/>
          <c:tx>
            <c:strRef>
              <c:f>Religion!$BI$42</c:f>
              <c:strCache>
                <c:ptCount val="1"/>
                <c:pt idx="0">
                  <c:v>Economically inactive: Student (including full-time students)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Religion!$BJ$42:$BS$42</c:f>
              <c:numCache/>
            </c:numRef>
          </c:val>
        </c:ser>
        <c:ser>
          <c:idx val="4"/>
          <c:order val="4"/>
          <c:tx>
            <c:strRef>
              <c:f>Religion!$BI$41</c:f>
              <c:strCache>
                <c:ptCount val="1"/>
                <c:pt idx="0">
                  <c:v>Economically inactive: Retired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Religion!$BJ$41:$BS$41</c:f>
              <c:numCache/>
            </c:numRef>
          </c:val>
        </c:ser>
        <c:ser>
          <c:idx val="3"/>
          <c:order val="5"/>
          <c:tx>
            <c:strRef>
              <c:f>Religion!$BI$37</c:f>
              <c:strCache>
                <c:ptCount val="1"/>
                <c:pt idx="0">
                  <c:v>Economically active: Unemployed: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Religion!$BJ$37:$BS$37</c:f>
              <c:numCache/>
            </c:numRef>
          </c:val>
        </c:ser>
        <c:ser>
          <c:idx val="2"/>
          <c:order val="6"/>
          <c:tx>
            <c:strRef>
              <c:f>Religion!$BI$36</c:f>
              <c:strCache>
                <c:ptCount val="1"/>
                <c:pt idx="0">
                  <c:v>Economically active: In employment: Full-time students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Religion!$BJ$36:$BS$36</c:f>
              <c:numCache/>
            </c:numRef>
          </c:val>
        </c:ser>
        <c:ser>
          <c:idx val="1"/>
          <c:order val="7"/>
          <c:tx>
            <c:strRef>
              <c:f>Religion!$BI$33</c:f>
              <c:strCache>
                <c:ptCount val="1"/>
                <c:pt idx="0">
                  <c:v>Economically active: In employment: Self-employed: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Religion!$BJ$33:$BS$33</c:f>
              <c:numCache/>
            </c:numRef>
          </c:val>
        </c:ser>
        <c:ser>
          <c:idx val="0"/>
          <c:order val="8"/>
          <c:tx>
            <c:strRef>
              <c:f>Religion!$BI$30</c:f>
              <c:strCache>
                <c:ptCount val="1"/>
                <c:pt idx="0">
                  <c:v>Economically active: In employment: Employee: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Religion!$BJ$30:$BS$30</c:f>
              <c:numCache/>
            </c:numRef>
          </c:val>
        </c:ser>
        <c:overlap val="100"/>
        <c:axId val="12760839"/>
        <c:axId val="47738688"/>
      </c:bar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0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25"/>
          <c:y val="0.0975"/>
          <c:w val="0.3325"/>
          <c:h val="0.7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Identity by Religion (Wandsworth)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96"/>
          <c:w val="0.66025"/>
          <c:h val="0.86625"/>
        </c:manualLayout>
      </c:layout>
      <c:barChart>
        <c:barDir val="col"/>
        <c:grouping val="percentStacked"/>
        <c:varyColors val="0"/>
        <c:ser>
          <c:idx val="13"/>
          <c:order val="0"/>
          <c:tx>
            <c:strRef>
              <c:f>Religion!$CT$37</c:f>
              <c:strCache>
                <c:ptCount val="1"/>
                <c:pt idx="0">
                  <c:v>Other identity and at least one UK identity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Religion!$CU$37:$DD$37</c:f>
              <c:numCache/>
            </c:numRef>
          </c:val>
        </c:ser>
        <c:ser>
          <c:idx val="12"/>
          <c:order val="1"/>
          <c:tx>
            <c:strRef>
              <c:f>Religion!$CT$36</c:f>
              <c:strCache>
                <c:ptCount val="1"/>
                <c:pt idx="0">
                  <c:v>Other identity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Religion!$CU$36:$DD$36</c:f>
              <c:numCache/>
            </c:numRef>
          </c:val>
        </c:ser>
        <c:ser>
          <c:idx val="11"/>
          <c:order val="2"/>
          <c:tx>
            <c:strRef>
              <c:f>Religion!$CT$35</c:f>
              <c:strCache>
                <c:ptCount val="1"/>
                <c:pt idx="0">
                  <c:v>Irish and at least one UK identity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Religion!$CU$35:$DD$35</c:f>
              <c:numCache/>
            </c:numRef>
          </c:val>
        </c:ser>
        <c:ser>
          <c:idx val="10"/>
          <c:order val="3"/>
          <c:tx>
            <c:strRef>
              <c:f>Religion!$CT$34</c:f>
              <c:strCache>
                <c:ptCount val="1"/>
                <c:pt idx="0">
                  <c:v>Irish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Religion!$CU$34:$DD$34</c:f>
              <c:numCache/>
            </c:numRef>
          </c:val>
        </c:ser>
        <c:ser>
          <c:idx val="9"/>
          <c:order val="4"/>
          <c:tx>
            <c:strRef>
              <c:f>Religion!$CT$33</c:f>
              <c:strCache>
                <c:ptCount val="1"/>
                <c:pt idx="0">
                  <c:v>Any other combination of UK identities (UK only)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Religion!$CU$33:$DD$33</c:f>
              <c:numCache/>
            </c:numRef>
          </c:val>
        </c:ser>
        <c:ser>
          <c:idx val="8"/>
          <c:order val="5"/>
          <c:tx>
            <c:strRef>
              <c:f>Religion!$CT$32</c:f>
              <c:strCache>
                <c:ptCount val="1"/>
                <c:pt idx="0">
                  <c:v>Northern Irish and British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Religion!$CU$32:$DD$32</c:f>
              <c:numCache/>
            </c:numRef>
          </c:val>
        </c:ser>
        <c:ser>
          <c:idx val="7"/>
          <c:order val="6"/>
          <c:tx>
            <c:strRef>
              <c:f>Religion!$CT$31</c:f>
              <c:strCache>
                <c:ptCount val="1"/>
                <c:pt idx="0">
                  <c:v>Northern Irish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Religion!$CU$31:$DD$31</c:f>
              <c:numCache/>
            </c:numRef>
          </c:val>
        </c:ser>
        <c:ser>
          <c:idx val="6"/>
          <c:order val="7"/>
          <c:tx>
            <c:strRef>
              <c:f>Religion!$CT$30</c:f>
              <c:strCache>
                <c:ptCount val="1"/>
                <c:pt idx="0">
                  <c:v>Scottish and British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Religion!$CU$30:$DD$30</c:f>
              <c:numCache/>
            </c:numRef>
          </c:val>
        </c:ser>
        <c:ser>
          <c:idx val="5"/>
          <c:order val="8"/>
          <c:tx>
            <c:strRef>
              <c:f>Religion!$CT$29</c:f>
              <c:strCache>
                <c:ptCount val="1"/>
                <c:pt idx="0">
                  <c:v>Scottish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Religion!$CU$29:$DD$29</c:f>
              <c:numCache/>
            </c:numRef>
          </c:val>
        </c:ser>
        <c:ser>
          <c:idx val="4"/>
          <c:order val="9"/>
          <c:tx>
            <c:strRef>
              <c:f>Religion!$CT$28</c:f>
              <c:strCache>
                <c:ptCount val="1"/>
                <c:pt idx="0">
                  <c:v>Welsh and British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Religion!$CU$28:$DD$28</c:f>
              <c:numCache/>
            </c:numRef>
          </c:val>
        </c:ser>
        <c:ser>
          <c:idx val="3"/>
          <c:order val="10"/>
          <c:tx>
            <c:strRef>
              <c:f>Religion!$CT$27</c:f>
              <c:strCache>
                <c:ptCount val="1"/>
                <c:pt idx="0">
                  <c:v>Welsh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Religion!$CU$27:$DD$27</c:f>
              <c:numCache/>
            </c:numRef>
          </c:val>
        </c:ser>
        <c:ser>
          <c:idx val="2"/>
          <c:order val="11"/>
          <c:tx>
            <c:strRef>
              <c:f>Religion!$CT$26</c:f>
              <c:strCache>
                <c:ptCount val="1"/>
                <c:pt idx="0">
                  <c:v>English and British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Religion!$CU$26:$DD$26</c:f>
              <c:numCache/>
            </c:numRef>
          </c:val>
        </c:ser>
        <c:ser>
          <c:idx val="1"/>
          <c:order val="12"/>
          <c:tx>
            <c:strRef>
              <c:f>Religion!$CT$25</c:f>
              <c:strCache>
                <c:ptCount val="1"/>
                <c:pt idx="0">
                  <c:v>English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Religion!$CU$25:$DD$25</c:f>
              <c:numCache/>
            </c:numRef>
          </c:val>
        </c:ser>
        <c:ser>
          <c:idx val="0"/>
          <c:order val="13"/>
          <c:tx>
            <c:strRef>
              <c:f>Religion!$CT$24</c:f>
              <c:strCache>
                <c:ptCount val="1"/>
                <c:pt idx="0">
                  <c:v>British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Religion!$CU$24:$DD$24</c:f>
              <c:numCache/>
            </c:numRef>
          </c:val>
        </c:ser>
        <c:overlap val="100"/>
        <c:axId val="26995009"/>
        <c:axId val="41628490"/>
      </c:bar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28490"/>
        <c:crosses val="autoZero"/>
        <c:auto val="1"/>
        <c:lblOffset val="100"/>
        <c:tickLblSkip val="1"/>
        <c:noMultiLvlLbl val="0"/>
      </c:catAx>
      <c:valAx>
        <c:axId val="41628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14475"/>
          <c:w val="0.3235"/>
          <c:h val="0.6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77</xdr:row>
      <xdr:rowOff>85725</xdr:rowOff>
    </xdr:from>
    <xdr:to>
      <xdr:col>9</xdr:col>
      <xdr:colOff>1076325</xdr:colOff>
      <xdr:row>104</xdr:row>
      <xdr:rowOff>85725</xdr:rowOff>
    </xdr:to>
    <xdr:graphicFrame>
      <xdr:nvGraphicFramePr>
        <xdr:cNvPr id="1" name="Chart 1"/>
        <xdr:cNvGraphicFramePr/>
      </xdr:nvGraphicFramePr>
      <xdr:xfrm>
        <a:off x="85725" y="14668500"/>
        <a:ext cx="12896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781050</xdr:colOff>
      <xdr:row>103</xdr:row>
      <xdr:rowOff>66675</xdr:rowOff>
    </xdr:from>
    <xdr:ext cx="2524125" cy="171450"/>
    <xdr:sp>
      <xdr:nvSpPr>
        <xdr:cNvPr id="2" name="Text Box 2"/>
        <xdr:cNvSpPr txBox="1">
          <a:spLocks noChangeArrowheads="1"/>
        </xdr:cNvSpPr>
      </xdr:nvSpPr>
      <xdr:spPr>
        <a:xfrm>
          <a:off x="10696575" y="18859500"/>
          <a:ext cx="2524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0</xdr:col>
      <xdr:colOff>114300</xdr:colOff>
      <xdr:row>103</xdr:row>
      <xdr:rowOff>28575</xdr:rowOff>
    </xdr:from>
    <xdr:ext cx="3200400" cy="180975"/>
    <xdr:sp>
      <xdr:nvSpPr>
        <xdr:cNvPr id="3" name="Text Box 3"/>
        <xdr:cNvSpPr txBox="1">
          <a:spLocks noChangeArrowheads="1"/>
        </xdr:cNvSpPr>
      </xdr:nvSpPr>
      <xdr:spPr>
        <a:xfrm>
          <a:off x="114300" y="18821400"/>
          <a:ext cx="3200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DC2104EW - All usual residents aged 3 and over</a:t>
          </a:r>
        </a:p>
      </xdr:txBody>
    </xdr:sp>
    <xdr:clientData/>
  </xdr:oneCellAnchor>
  <xdr:twoCellAnchor>
    <xdr:from>
      <xdr:col>11</xdr:col>
      <xdr:colOff>285750</xdr:colOff>
      <xdr:row>52</xdr:row>
      <xdr:rowOff>114300</xdr:rowOff>
    </xdr:from>
    <xdr:to>
      <xdr:col>18</xdr:col>
      <xdr:colOff>1438275</xdr:colOff>
      <xdr:row>101</xdr:row>
      <xdr:rowOff>114300</xdr:rowOff>
    </xdr:to>
    <xdr:graphicFrame>
      <xdr:nvGraphicFramePr>
        <xdr:cNvPr id="4" name="Chart 5"/>
        <xdr:cNvGraphicFramePr/>
      </xdr:nvGraphicFramePr>
      <xdr:xfrm>
        <a:off x="13487400" y="9982200"/>
        <a:ext cx="13096875" cy="860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1266825</xdr:colOff>
      <xdr:row>100</xdr:row>
      <xdr:rowOff>66675</xdr:rowOff>
    </xdr:from>
    <xdr:ext cx="2533650" cy="171450"/>
    <xdr:sp>
      <xdr:nvSpPr>
        <xdr:cNvPr id="5" name="Text Box 6"/>
        <xdr:cNvSpPr txBox="1">
          <a:spLocks noChangeArrowheads="1"/>
        </xdr:cNvSpPr>
      </xdr:nvSpPr>
      <xdr:spPr>
        <a:xfrm>
          <a:off x="24288750" y="18373725"/>
          <a:ext cx="2533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11</xdr:col>
      <xdr:colOff>352425</xdr:colOff>
      <xdr:row>100</xdr:row>
      <xdr:rowOff>76200</xdr:rowOff>
    </xdr:from>
    <xdr:ext cx="3238500" cy="180975"/>
    <xdr:sp>
      <xdr:nvSpPr>
        <xdr:cNvPr id="6" name="Text Box 7"/>
        <xdr:cNvSpPr txBox="1">
          <a:spLocks noChangeArrowheads="1"/>
        </xdr:cNvSpPr>
      </xdr:nvSpPr>
      <xdr:spPr>
        <a:xfrm>
          <a:off x="13554075" y="18383250"/>
          <a:ext cx="3238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DC2803EW - All usual residents aged 3 and over</a:t>
          </a:r>
        </a:p>
      </xdr:txBody>
    </xdr:sp>
    <xdr:clientData/>
  </xdr:oneCellAnchor>
  <xdr:twoCellAnchor>
    <xdr:from>
      <xdr:col>20</xdr:col>
      <xdr:colOff>104775</xdr:colOff>
      <xdr:row>52</xdr:row>
      <xdr:rowOff>9525</xdr:rowOff>
    </xdr:from>
    <xdr:to>
      <xdr:col>27</xdr:col>
      <xdr:colOff>1114425</xdr:colOff>
      <xdr:row>101</xdr:row>
      <xdr:rowOff>123825</xdr:rowOff>
    </xdr:to>
    <xdr:graphicFrame>
      <xdr:nvGraphicFramePr>
        <xdr:cNvPr id="7" name="Chart 8"/>
        <xdr:cNvGraphicFramePr/>
      </xdr:nvGraphicFramePr>
      <xdr:xfrm>
        <a:off x="26898600" y="9877425"/>
        <a:ext cx="13068300" cy="871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26</xdr:col>
      <xdr:colOff>1019175</xdr:colOff>
      <xdr:row>100</xdr:row>
      <xdr:rowOff>95250</xdr:rowOff>
    </xdr:from>
    <xdr:ext cx="2524125" cy="180975"/>
    <xdr:sp>
      <xdr:nvSpPr>
        <xdr:cNvPr id="8" name="Text Box 9"/>
        <xdr:cNvSpPr txBox="1">
          <a:spLocks noChangeArrowheads="1"/>
        </xdr:cNvSpPr>
      </xdr:nvSpPr>
      <xdr:spPr>
        <a:xfrm>
          <a:off x="37680900" y="18402300"/>
          <a:ext cx="2524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20</xdr:col>
      <xdr:colOff>161925</xdr:colOff>
      <xdr:row>100</xdr:row>
      <xdr:rowOff>76200</xdr:rowOff>
    </xdr:from>
    <xdr:ext cx="3181350" cy="180975"/>
    <xdr:sp>
      <xdr:nvSpPr>
        <xdr:cNvPr id="9" name="Text Box 10"/>
        <xdr:cNvSpPr txBox="1">
          <a:spLocks noChangeArrowheads="1"/>
        </xdr:cNvSpPr>
      </xdr:nvSpPr>
      <xdr:spPr>
        <a:xfrm>
          <a:off x="26955750" y="18383250"/>
          <a:ext cx="3181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DC2105EW - All usual residents aged 3 and over</a:t>
          </a:r>
        </a:p>
      </xdr:txBody>
    </xdr:sp>
    <xdr:clientData/>
  </xdr:oneCellAnchor>
  <xdr:twoCellAnchor>
    <xdr:from>
      <xdr:col>29</xdr:col>
      <xdr:colOff>266700</xdr:colOff>
      <xdr:row>52</xdr:row>
      <xdr:rowOff>9525</xdr:rowOff>
    </xdr:from>
    <xdr:to>
      <xdr:col>33</xdr:col>
      <xdr:colOff>676275</xdr:colOff>
      <xdr:row>101</xdr:row>
      <xdr:rowOff>133350</xdr:rowOff>
    </xdr:to>
    <xdr:graphicFrame>
      <xdr:nvGraphicFramePr>
        <xdr:cNvPr id="10" name="Chart 13"/>
        <xdr:cNvGraphicFramePr/>
      </xdr:nvGraphicFramePr>
      <xdr:xfrm>
        <a:off x="40490775" y="9877425"/>
        <a:ext cx="12182475" cy="872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32</xdr:col>
      <xdr:colOff>2028825</xdr:colOff>
      <xdr:row>100</xdr:row>
      <xdr:rowOff>76200</xdr:rowOff>
    </xdr:from>
    <xdr:ext cx="2533650" cy="180975"/>
    <xdr:sp>
      <xdr:nvSpPr>
        <xdr:cNvPr id="11" name="Text Box 14"/>
        <xdr:cNvSpPr txBox="1">
          <a:spLocks noChangeArrowheads="1"/>
        </xdr:cNvSpPr>
      </xdr:nvSpPr>
      <xdr:spPr>
        <a:xfrm>
          <a:off x="50377725" y="18383250"/>
          <a:ext cx="2533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29</xdr:col>
      <xdr:colOff>314325</xdr:colOff>
      <xdr:row>100</xdr:row>
      <xdr:rowOff>76200</xdr:rowOff>
    </xdr:from>
    <xdr:ext cx="3286125" cy="180975"/>
    <xdr:sp>
      <xdr:nvSpPr>
        <xdr:cNvPr id="12" name="Text Box 15"/>
        <xdr:cNvSpPr txBox="1">
          <a:spLocks noChangeArrowheads="1"/>
        </xdr:cNvSpPr>
      </xdr:nvSpPr>
      <xdr:spPr>
        <a:xfrm>
          <a:off x="40538400" y="18383250"/>
          <a:ext cx="3286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DC2602EW - All usual residents aged 16 and over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9525</xdr:rowOff>
    </xdr:from>
    <xdr:to>
      <xdr:col>10</xdr:col>
      <xdr:colOff>1181100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57150" y="6105525"/>
        <a:ext cx="150018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95250</xdr:colOff>
      <xdr:row>56</xdr:row>
      <xdr:rowOff>66675</xdr:rowOff>
    </xdr:from>
    <xdr:ext cx="1933575" cy="180975"/>
    <xdr:sp>
      <xdr:nvSpPr>
        <xdr:cNvPr id="2" name="Text Box 2"/>
        <xdr:cNvSpPr txBox="1">
          <a:spLocks noChangeArrowheads="1"/>
        </xdr:cNvSpPr>
      </xdr:nvSpPr>
      <xdr:spPr>
        <a:xfrm>
          <a:off x="95250" y="10506075"/>
          <a:ext cx="1933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DC2107EW - All usual residents </a:t>
          </a:r>
        </a:p>
      </xdr:txBody>
    </xdr:sp>
    <xdr:clientData/>
  </xdr:oneCellAnchor>
  <xdr:oneCellAnchor>
    <xdr:from>
      <xdr:col>9</xdr:col>
      <xdr:colOff>95250</xdr:colOff>
      <xdr:row>56</xdr:row>
      <xdr:rowOff>76200</xdr:rowOff>
    </xdr:from>
    <xdr:ext cx="2238375" cy="180975"/>
    <xdr:sp>
      <xdr:nvSpPr>
        <xdr:cNvPr id="3" name="Text Box 3"/>
        <xdr:cNvSpPr txBox="1">
          <a:spLocks noChangeArrowheads="1"/>
        </xdr:cNvSpPr>
      </xdr:nvSpPr>
      <xdr:spPr>
        <a:xfrm>
          <a:off x="12668250" y="105156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24</xdr:col>
      <xdr:colOff>142875</xdr:colOff>
      <xdr:row>21</xdr:row>
      <xdr:rowOff>85725</xdr:rowOff>
    </xdr:from>
    <xdr:to>
      <xdr:col>34</xdr:col>
      <xdr:colOff>971550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30260925" y="4086225"/>
        <a:ext cx="14849475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33</xdr:col>
      <xdr:colOff>142875</xdr:colOff>
      <xdr:row>55</xdr:row>
      <xdr:rowOff>114300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42757725" y="103917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24</xdr:col>
      <xdr:colOff>219075</xdr:colOff>
      <xdr:row>55</xdr:row>
      <xdr:rowOff>76200</xdr:rowOff>
    </xdr:from>
    <xdr:ext cx="2924175" cy="180975"/>
    <xdr:sp>
      <xdr:nvSpPr>
        <xdr:cNvPr id="6" name="Text Box 6"/>
        <xdr:cNvSpPr txBox="1">
          <a:spLocks noChangeArrowheads="1"/>
        </xdr:cNvSpPr>
      </xdr:nvSpPr>
      <xdr:spPr>
        <a:xfrm>
          <a:off x="30337125" y="10353675"/>
          <a:ext cx="2924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DC6027EWa - All usual residents aged 16 and over </a:t>
          </a:r>
        </a:p>
      </xdr:txBody>
    </xdr:sp>
    <xdr:clientData/>
  </xdr:oneCellAnchor>
  <xdr:twoCellAnchor>
    <xdr:from>
      <xdr:col>48</xdr:col>
      <xdr:colOff>66675</xdr:colOff>
      <xdr:row>39</xdr:row>
      <xdr:rowOff>38100</xdr:rowOff>
    </xdr:from>
    <xdr:to>
      <xdr:col>58</xdr:col>
      <xdr:colOff>933450</xdr:colOff>
      <xdr:row>57</xdr:row>
      <xdr:rowOff>47625</xdr:rowOff>
    </xdr:to>
    <xdr:graphicFrame>
      <xdr:nvGraphicFramePr>
        <xdr:cNvPr id="7" name="Chart 7"/>
        <xdr:cNvGraphicFramePr/>
      </xdr:nvGraphicFramePr>
      <xdr:xfrm>
        <a:off x="60664725" y="7467600"/>
        <a:ext cx="1486852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57</xdr:col>
      <xdr:colOff>76200</xdr:colOff>
      <xdr:row>55</xdr:row>
      <xdr:rowOff>142875</xdr:rowOff>
    </xdr:from>
    <xdr:ext cx="2238375" cy="180975"/>
    <xdr:sp>
      <xdr:nvSpPr>
        <xdr:cNvPr id="8" name="Text Box 8"/>
        <xdr:cNvSpPr txBox="1">
          <a:spLocks noChangeArrowheads="1"/>
        </xdr:cNvSpPr>
      </xdr:nvSpPr>
      <xdr:spPr>
        <a:xfrm>
          <a:off x="73190100" y="104203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48</xdr:col>
      <xdr:colOff>95250</xdr:colOff>
      <xdr:row>55</xdr:row>
      <xdr:rowOff>123825</xdr:rowOff>
    </xdr:from>
    <xdr:ext cx="1933575" cy="180975"/>
    <xdr:sp>
      <xdr:nvSpPr>
        <xdr:cNvPr id="9" name="Text Box 9"/>
        <xdr:cNvSpPr txBox="1">
          <a:spLocks noChangeArrowheads="1"/>
        </xdr:cNvSpPr>
      </xdr:nvSpPr>
      <xdr:spPr>
        <a:xfrm>
          <a:off x="60693300" y="10401300"/>
          <a:ext cx="1933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DC2207EW - All usual residents  </a:t>
          </a:r>
        </a:p>
      </xdr:txBody>
    </xdr:sp>
    <xdr:clientData/>
  </xdr:oneCellAnchor>
  <xdr:twoCellAnchor>
    <xdr:from>
      <xdr:col>71</xdr:col>
      <xdr:colOff>238125</xdr:colOff>
      <xdr:row>2</xdr:row>
      <xdr:rowOff>9525</xdr:rowOff>
    </xdr:from>
    <xdr:to>
      <xdr:col>95</xdr:col>
      <xdr:colOff>476250</xdr:colOff>
      <xdr:row>56</xdr:row>
      <xdr:rowOff>9525</xdr:rowOff>
    </xdr:to>
    <xdr:graphicFrame>
      <xdr:nvGraphicFramePr>
        <xdr:cNvPr id="10" name="Chart 10"/>
        <xdr:cNvGraphicFramePr/>
      </xdr:nvGraphicFramePr>
      <xdr:xfrm>
        <a:off x="90992325" y="390525"/>
        <a:ext cx="14868525" cy="1005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92</xdr:col>
      <xdr:colOff>19050</xdr:colOff>
      <xdr:row>54</xdr:row>
      <xdr:rowOff>123825</xdr:rowOff>
    </xdr:from>
    <xdr:ext cx="2238375" cy="180975"/>
    <xdr:sp>
      <xdr:nvSpPr>
        <xdr:cNvPr id="11" name="Text Box 11"/>
        <xdr:cNvSpPr txBox="1">
          <a:spLocks noChangeArrowheads="1"/>
        </xdr:cNvSpPr>
      </xdr:nvSpPr>
      <xdr:spPr>
        <a:xfrm>
          <a:off x="103574850" y="102393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71</xdr:col>
      <xdr:colOff>304800</xdr:colOff>
      <xdr:row>54</xdr:row>
      <xdr:rowOff>95250</xdr:rowOff>
    </xdr:from>
    <xdr:ext cx="2857500" cy="180975"/>
    <xdr:sp>
      <xdr:nvSpPr>
        <xdr:cNvPr id="12" name="Text Box 12"/>
        <xdr:cNvSpPr txBox="1">
          <a:spLocks noChangeArrowheads="1"/>
        </xdr:cNvSpPr>
      </xdr:nvSpPr>
      <xdr:spPr>
        <a:xfrm>
          <a:off x="91059000" y="10210800"/>
          <a:ext cx="2857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DC6205EW - All usual residents aged 16 and over </a:t>
          </a:r>
        </a:p>
      </xdr:txBody>
    </xdr:sp>
    <xdr:clientData/>
  </xdr:oneCellAnchor>
  <xdr:twoCellAnchor>
    <xdr:from>
      <xdr:col>109</xdr:col>
      <xdr:colOff>114300</xdr:colOff>
      <xdr:row>20</xdr:row>
      <xdr:rowOff>76200</xdr:rowOff>
    </xdr:from>
    <xdr:to>
      <xdr:col>119</xdr:col>
      <xdr:colOff>914400</xdr:colOff>
      <xdr:row>57</xdr:row>
      <xdr:rowOff>19050</xdr:rowOff>
    </xdr:to>
    <xdr:graphicFrame>
      <xdr:nvGraphicFramePr>
        <xdr:cNvPr id="13" name="Chart 13"/>
        <xdr:cNvGraphicFramePr/>
      </xdr:nvGraphicFramePr>
      <xdr:xfrm>
        <a:off x="121424700" y="3886200"/>
        <a:ext cx="14773275" cy="673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118</xdr:col>
      <xdr:colOff>304800</xdr:colOff>
      <xdr:row>55</xdr:row>
      <xdr:rowOff>123825</xdr:rowOff>
    </xdr:from>
    <xdr:ext cx="2238375" cy="180975"/>
    <xdr:sp>
      <xdr:nvSpPr>
        <xdr:cNvPr id="14" name="Text Box 14"/>
        <xdr:cNvSpPr txBox="1">
          <a:spLocks noChangeArrowheads="1"/>
        </xdr:cNvSpPr>
      </xdr:nvSpPr>
      <xdr:spPr>
        <a:xfrm>
          <a:off x="133911975" y="104013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109</xdr:col>
      <xdr:colOff>171450</xdr:colOff>
      <xdr:row>55</xdr:row>
      <xdr:rowOff>76200</xdr:rowOff>
    </xdr:from>
    <xdr:ext cx="1933575" cy="180975"/>
    <xdr:sp>
      <xdr:nvSpPr>
        <xdr:cNvPr id="15" name="Text Box 15"/>
        <xdr:cNvSpPr txBox="1">
          <a:spLocks noChangeArrowheads="1"/>
        </xdr:cNvSpPr>
      </xdr:nvSpPr>
      <xdr:spPr>
        <a:xfrm>
          <a:off x="121481850" y="10353675"/>
          <a:ext cx="1933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DC2204EW - All usual residents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40</xdr:row>
      <xdr:rowOff>123825</xdr:rowOff>
    </xdr:from>
    <xdr:to>
      <xdr:col>10</xdr:col>
      <xdr:colOff>647700</xdr:colOff>
      <xdr:row>79</xdr:row>
      <xdr:rowOff>66675</xdr:rowOff>
    </xdr:to>
    <xdr:graphicFrame>
      <xdr:nvGraphicFramePr>
        <xdr:cNvPr id="1" name="Chart 1"/>
        <xdr:cNvGraphicFramePr/>
      </xdr:nvGraphicFramePr>
      <xdr:xfrm>
        <a:off x="114300" y="7743825"/>
        <a:ext cx="103060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695325</xdr:colOff>
      <xdr:row>78</xdr:row>
      <xdr:rowOff>38100</xdr:rowOff>
    </xdr:from>
    <xdr:ext cx="2238375" cy="152400"/>
    <xdr:sp>
      <xdr:nvSpPr>
        <xdr:cNvPr id="2" name="Text Box 2"/>
        <xdr:cNvSpPr txBox="1">
          <a:spLocks noChangeArrowheads="1"/>
        </xdr:cNvSpPr>
      </xdr:nvSpPr>
      <xdr:spPr>
        <a:xfrm>
          <a:off x="8124825" y="13811250"/>
          <a:ext cx="2238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0</xdr:col>
      <xdr:colOff>152400</xdr:colOff>
      <xdr:row>78</xdr:row>
      <xdr:rowOff>28575</xdr:rowOff>
    </xdr:from>
    <xdr:ext cx="1933575" cy="161925"/>
    <xdr:sp>
      <xdr:nvSpPr>
        <xdr:cNvPr id="3" name="Text Box 3"/>
        <xdr:cNvSpPr txBox="1">
          <a:spLocks noChangeArrowheads="1"/>
        </xdr:cNvSpPr>
      </xdr:nvSpPr>
      <xdr:spPr>
        <a:xfrm>
          <a:off x="152400" y="13801725"/>
          <a:ext cx="1933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DC2102EW - All usual residents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60</xdr:row>
      <xdr:rowOff>66675</xdr:rowOff>
    </xdr:from>
    <xdr:to>
      <xdr:col>33</xdr:col>
      <xdr:colOff>1066800</xdr:colOff>
      <xdr:row>116</xdr:row>
      <xdr:rowOff>180975</xdr:rowOff>
    </xdr:to>
    <xdr:graphicFrame>
      <xdr:nvGraphicFramePr>
        <xdr:cNvPr id="1" name="Chart 11"/>
        <xdr:cNvGraphicFramePr/>
      </xdr:nvGraphicFramePr>
      <xdr:xfrm>
        <a:off x="32042100" y="11496675"/>
        <a:ext cx="15411450" cy="1069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60</xdr:row>
      <xdr:rowOff>76200</xdr:rowOff>
    </xdr:from>
    <xdr:to>
      <xdr:col>10</xdr:col>
      <xdr:colOff>828675</xdr:colOff>
      <xdr:row>117</xdr:row>
      <xdr:rowOff>76200</xdr:rowOff>
    </xdr:to>
    <xdr:graphicFrame>
      <xdr:nvGraphicFramePr>
        <xdr:cNvPr id="2" name="Chart 1"/>
        <xdr:cNvGraphicFramePr/>
      </xdr:nvGraphicFramePr>
      <xdr:xfrm>
        <a:off x="142875" y="11506200"/>
        <a:ext cx="15487650" cy="1077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209550</xdr:colOff>
      <xdr:row>116</xdr:row>
      <xdr:rowOff>28575</xdr:rowOff>
    </xdr:from>
    <xdr:ext cx="2028825" cy="238125"/>
    <xdr:sp>
      <xdr:nvSpPr>
        <xdr:cNvPr id="3" name="Text Box 2"/>
        <xdr:cNvSpPr txBox="1">
          <a:spLocks noChangeArrowheads="1"/>
        </xdr:cNvSpPr>
      </xdr:nvSpPr>
      <xdr:spPr>
        <a:xfrm>
          <a:off x="209550" y="22040850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DC2101EW - All usual residents</a:t>
          </a:r>
        </a:p>
      </xdr:txBody>
    </xdr:sp>
    <xdr:clientData/>
  </xdr:oneCellAnchor>
  <xdr:oneCellAnchor>
    <xdr:from>
      <xdr:col>8</xdr:col>
      <xdr:colOff>666750</xdr:colOff>
      <xdr:row>116</xdr:row>
      <xdr:rowOff>47625</xdr:rowOff>
    </xdr:from>
    <xdr:ext cx="2238375" cy="180975"/>
    <xdr:sp>
      <xdr:nvSpPr>
        <xdr:cNvPr id="4" name="Text Box 3"/>
        <xdr:cNvSpPr txBox="1">
          <a:spLocks noChangeArrowheads="1"/>
        </xdr:cNvSpPr>
      </xdr:nvSpPr>
      <xdr:spPr>
        <a:xfrm>
          <a:off x="13087350" y="220599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12</xdr:col>
      <xdr:colOff>76200</xdr:colOff>
      <xdr:row>61</xdr:row>
      <xdr:rowOff>0</xdr:rowOff>
    </xdr:from>
    <xdr:to>
      <xdr:col>22</xdr:col>
      <xdr:colOff>885825</xdr:colOff>
      <xdr:row>116</xdr:row>
      <xdr:rowOff>161925</xdr:rowOff>
    </xdr:to>
    <xdr:graphicFrame>
      <xdr:nvGraphicFramePr>
        <xdr:cNvPr id="5" name="Chart 4"/>
        <xdr:cNvGraphicFramePr/>
      </xdr:nvGraphicFramePr>
      <xdr:xfrm>
        <a:off x="16059150" y="11620500"/>
        <a:ext cx="15497175" cy="1055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21</xdr:col>
      <xdr:colOff>285750</xdr:colOff>
      <xdr:row>115</xdr:row>
      <xdr:rowOff>142875</xdr:rowOff>
    </xdr:from>
    <xdr:ext cx="2238375" cy="180975"/>
    <xdr:sp>
      <xdr:nvSpPr>
        <xdr:cNvPr id="6" name="Text Box 5"/>
        <xdr:cNvSpPr txBox="1">
          <a:spLocks noChangeArrowheads="1"/>
        </xdr:cNvSpPr>
      </xdr:nvSpPr>
      <xdr:spPr>
        <a:xfrm>
          <a:off x="29184600" y="219646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12</xdr:col>
      <xdr:colOff>152400</xdr:colOff>
      <xdr:row>115</xdr:row>
      <xdr:rowOff>76200</xdr:rowOff>
    </xdr:from>
    <xdr:ext cx="2028825" cy="238125"/>
    <xdr:sp>
      <xdr:nvSpPr>
        <xdr:cNvPr id="7" name="Text Box 6"/>
        <xdr:cNvSpPr txBox="1">
          <a:spLocks noChangeArrowheads="1"/>
        </xdr:cNvSpPr>
      </xdr:nvSpPr>
      <xdr:spPr>
        <a:xfrm>
          <a:off x="16135350" y="218979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DC2201EW - All usual residents</a:t>
          </a:r>
        </a:p>
      </xdr:txBody>
    </xdr:sp>
    <xdr:clientData/>
  </xdr:oneCellAnchor>
  <xdr:oneCellAnchor>
    <xdr:from>
      <xdr:col>32</xdr:col>
      <xdr:colOff>447675</xdr:colOff>
      <xdr:row>115</xdr:row>
      <xdr:rowOff>123825</xdr:rowOff>
    </xdr:from>
    <xdr:ext cx="2238375" cy="180975"/>
    <xdr:sp>
      <xdr:nvSpPr>
        <xdr:cNvPr id="8" name="Text Box 9"/>
        <xdr:cNvSpPr txBox="1">
          <a:spLocks noChangeArrowheads="1"/>
        </xdr:cNvSpPr>
      </xdr:nvSpPr>
      <xdr:spPr>
        <a:xfrm>
          <a:off x="45081825" y="219456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24</xdr:col>
      <xdr:colOff>209550</xdr:colOff>
      <xdr:row>115</xdr:row>
      <xdr:rowOff>123825</xdr:rowOff>
    </xdr:from>
    <xdr:ext cx="2838450" cy="238125"/>
    <xdr:sp>
      <xdr:nvSpPr>
        <xdr:cNvPr id="9" name="Text Box 10"/>
        <xdr:cNvSpPr txBox="1">
          <a:spLocks noChangeArrowheads="1"/>
        </xdr:cNvSpPr>
      </xdr:nvSpPr>
      <xdr:spPr>
        <a:xfrm>
          <a:off x="32089725" y="21945600"/>
          <a:ext cx="2838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DC2801EW - All usual residents</a:t>
          </a:r>
        </a:p>
      </xdr:txBody>
    </xdr:sp>
    <xdr:clientData/>
  </xdr:oneCellAnchor>
  <xdr:twoCellAnchor>
    <xdr:from>
      <xdr:col>35</xdr:col>
      <xdr:colOff>76200</xdr:colOff>
      <xdr:row>60</xdr:row>
      <xdr:rowOff>66675</xdr:rowOff>
    </xdr:from>
    <xdr:to>
      <xdr:col>41</xdr:col>
      <xdr:colOff>1552575</xdr:colOff>
      <xdr:row>116</xdr:row>
      <xdr:rowOff>152400</xdr:rowOff>
    </xdr:to>
    <xdr:graphicFrame>
      <xdr:nvGraphicFramePr>
        <xdr:cNvPr id="10" name="Chart 12"/>
        <xdr:cNvGraphicFramePr/>
      </xdr:nvGraphicFramePr>
      <xdr:xfrm>
        <a:off x="47853600" y="11496675"/>
        <a:ext cx="15601950" cy="1066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40</xdr:col>
      <xdr:colOff>1333500</xdr:colOff>
      <xdr:row>115</xdr:row>
      <xdr:rowOff>161925</xdr:rowOff>
    </xdr:from>
    <xdr:ext cx="2238375" cy="180975"/>
    <xdr:sp>
      <xdr:nvSpPr>
        <xdr:cNvPr id="11" name="Text Box 13"/>
        <xdr:cNvSpPr txBox="1">
          <a:spLocks noChangeArrowheads="1"/>
        </xdr:cNvSpPr>
      </xdr:nvSpPr>
      <xdr:spPr>
        <a:xfrm>
          <a:off x="60998100" y="219837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35</xdr:col>
      <xdr:colOff>171450</xdr:colOff>
      <xdr:row>115</xdr:row>
      <xdr:rowOff>57150</xdr:rowOff>
    </xdr:from>
    <xdr:ext cx="2838450" cy="238125"/>
    <xdr:sp>
      <xdr:nvSpPr>
        <xdr:cNvPr id="12" name="Text Box 14"/>
        <xdr:cNvSpPr txBox="1">
          <a:spLocks noChangeArrowheads="1"/>
        </xdr:cNvSpPr>
      </xdr:nvSpPr>
      <xdr:spPr>
        <a:xfrm>
          <a:off x="47948850" y="21878925"/>
          <a:ext cx="2838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DC2301EW - All usual residents</a:t>
          </a:r>
        </a:p>
      </xdr:txBody>
    </xdr:sp>
    <xdr:clientData/>
  </xdr:oneCellAnchor>
  <xdr:twoCellAnchor>
    <xdr:from>
      <xdr:col>43</xdr:col>
      <xdr:colOff>114300</xdr:colOff>
      <xdr:row>90</xdr:row>
      <xdr:rowOff>76200</xdr:rowOff>
    </xdr:from>
    <xdr:to>
      <xdr:col>58</xdr:col>
      <xdr:colOff>581025</xdr:colOff>
      <xdr:row>117</xdr:row>
      <xdr:rowOff>95250</xdr:rowOff>
    </xdr:to>
    <xdr:graphicFrame>
      <xdr:nvGraphicFramePr>
        <xdr:cNvPr id="13" name="Chart 15"/>
        <xdr:cNvGraphicFramePr/>
      </xdr:nvGraphicFramePr>
      <xdr:xfrm>
        <a:off x="63693675" y="17221200"/>
        <a:ext cx="15744825" cy="5076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60</xdr:col>
      <xdr:colOff>104775</xdr:colOff>
      <xdr:row>89</xdr:row>
      <xdr:rowOff>123825</xdr:rowOff>
    </xdr:from>
    <xdr:to>
      <xdr:col>71</xdr:col>
      <xdr:colOff>1047750</xdr:colOff>
      <xdr:row>117</xdr:row>
      <xdr:rowOff>76200</xdr:rowOff>
    </xdr:to>
    <xdr:graphicFrame>
      <xdr:nvGraphicFramePr>
        <xdr:cNvPr id="14" name="Chart 16"/>
        <xdr:cNvGraphicFramePr/>
      </xdr:nvGraphicFramePr>
      <xdr:xfrm>
        <a:off x="79714725" y="17078325"/>
        <a:ext cx="15611475" cy="5200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56</xdr:col>
      <xdr:colOff>457200</xdr:colOff>
      <xdr:row>116</xdr:row>
      <xdr:rowOff>66675</xdr:rowOff>
    </xdr:from>
    <xdr:ext cx="2238375" cy="180975"/>
    <xdr:sp>
      <xdr:nvSpPr>
        <xdr:cNvPr id="15" name="Text Box 17"/>
        <xdr:cNvSpPr txBox="1">
          <a:spLocks noChangeArrowheads="1"/>
        </xdr:cNvSpPr>
      </xdr:nvSpPr>
      <xdr:spPr>
        <a:xfrm>
          <a:off x="77095350" y="220789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69</xdr:col>
      <xdr:colOff>1162050</xdr:colOff>
      <xdr:row>116</xdr:row>
      <xdr:rowOff>66675</xdr:rowOff>
    </xdr:from>
    <xdr:ext cx="2238375" cy="180975"/>
    <xdr:sp>
      <xdr:nvSpPr>
        <xdr:cNvPr id="16" name="Text Box 18"/>
        <xdr:cNvSpPr txBox="1">
          <a:spLocks noChangeArrowheads="1"/>
        </xdr:cNvSpPr>
      </xdr:nvSpPr>
      <xdr:spPr>
        <a:xfrm>
          <a:off x="93030675" y="220789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43</xdr:col>
      <xdr:colOff>152400</xdr:colOff>
      <xdr:row>116</xdr:row>
      <xdr:rowOff>76200</xdr:rowOff>
    </xdr:from>
    <xdr:ext cx="2838450" cy="238125"/>
    <xdr:sp>
      <xdr:nvSpPr>
        <xdr:cNvPr id="17" name="Text Box 19"/>
        <xdr:cNvSpPr txBox="1">
          <a:spLocks noChangeArrowheads="1"/>
        </xdr:cNvSpPr>
      </xdr:nvSpPr>
      <xdr:spPr>
        <a:xfrm>
          <a:off x="63731775" y="22088475"/>
          <a:ext cx="2838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DC2202EW - All usual residents</a:t>
          </a:r>
        </a:p>
      </xdr:txBody>
    </xdr:sp>
    <xdr:clientData/>
  </xdr:oneCellAnchor>
  <xdr:oneCellAnchor>
    <xdr:from>
      <xdr:col>60</xdr:col>
      <xdr:colOff>152400</xdr:colOff>
      <xdr:row>116</xdr:row>
      <xdr:rowOff>47625</xdr:rowOff>
    </xdr:from>
    <xdr:ext cx="2238375" cy="238125"/>
    <xdr:sp>
      <xdr:nvSpPr>
        <xdr:cNvPr id="18" name="Text Box 20"/>
        <xdr:cNvSpPr txBox="1">
          <a:spLocks noChangeArrowheads="1"/>
        </xdr:cNvSpPr>
      </xdr:nvSpPr>
      <xdr:spPr>
        <a:xfrm>
          <a:off x="79762350" y="22059900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DC1203EW - All dependent children</a:t>
          </a:r>
        </a:p>
      </xdr:txBody>
    </xdr:sp>
    <xdr:clientData/>
  </xdr:oneCellAnchor>
  <xdr:twoCellAnchor>
    <xdr:from>
      <xdr:col>73</xdr:col>
      <xdr:colOff>171450</xdr:colOff>
      <xdr:row>89</xdr:row>
      <xdr:rowOff>114300</xdr:rowOff>
    </xdr:from>
    <xdr:to>
      <xdr:col>76</xdr:col>
      <xdr:colOff>3743325</xdr:colOff>
      <xdr:row>117</xdr:row>
      <xdr:rowOff>76200</xdr:rowOff>
    </xdr:to>
    <xdr:graphicFrame>
      <xdr:nvGraphicFramePr>
        <xdr:cNvPr id="19" name="Chart 21"/>
        <xdr:cNvGraphicFramePr/>
      </xdr:nvGraphicFramePr>
      <xdr:xfrm>
        <a:off x="95669100" y="17068800"/>
        <a:ext cx="1544002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73</xdr:col>
      <xdr:colOff>209550</xdr:colOff>
      <xdr:row>116</xdr:row>
      <xdr:rowOff>19050</xdr:rowOff>
    </xdr:from>
    <xdr:ext cx="2238375" cy="238125"/>
    <xdr:sp>
      <xdr:nvSpPr>
        <xdr:cNvPr id="20" name="Text Box 22"/>
        <xdr:cNvSpPr txBox="1">
          <a:spLocks noChangeArrowheads="1"/>
        </xdr:cNvSpPr>
      </xdr:nvSpPr>
      <xdr:spPr>
        <a:xfrm>
          <a:off x="95707200" y="2203132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DC2116EW - All dependent children</a:t>
          </a:r>
        </a:p>
      </xdr:txBody>
    </xdr:sp>
    <xdr:clientData/>
  </xdr:oneCellAnchor>
  <xdr:oneCellAnchor>
    <xdr:from>
      <xdr:col>76</xdr:col>
      <xdr:colOff>1447800</xdr:colOff>
      <xdr:row>116</xdr:row>
      <xdr:rowOff>47625</xdr:rowOff>
    </xdr:from>
    <xdr:ext cx="2238375" cy="180975"/>
    <xdr:sp>
      <xdr:nvSpPr>
        <xdr:cNvPr id="21" name="Text Box 23"/>
        <xdr:cNvSpPr txBox="1">
          <a:spLocks noChangeArrowheads="1"/>
        </xdr:cNvSpPr>
      </xdr:nvSpPr>
      <xdr:spPr>
        <a:xfrm>
          <a:off x="108813600" y="220599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78</xdr:col>
      <xdr:colOff>171450</xdr:colOff>
      <xdr:row>89</xdr:row>
      <xdr:rowOff>114300</xdr:rowOff>
    </xdr:from>
    <xdr:to>
      <xdr:col>83</xdr:col>
      <xdr:colOff>1781175</xdr:colOff>
      <xdr:row>117</xdr:row>
      <xdr:rowOff>47625</xdr:rowOff>
    </xdr:to>
    <xdr:graphicFrame>
      <xdr:nvGraphicFramePr>
        <xdr:cNvPr id="22" name="Chart 24"/>
        <xdr:cNvGraphicFramePr/>
      </xdr:nvGraphicFramePr>
      <xdr:xfrm>
        <a:off x="111509175" y="17068800"/>
        <a:ext cx="15573375" cy="5181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78</xdr:col>
      <xdr:colOff>266700</xdr:colOff>
      <xdr:row>115</xdr:row>
      <xdr:rowOff>152400</xdr:rowOff>
    </xdr:from>
    <xdr:ext cx="2238375" cy="238125"/>
    <xdr:sp>
      <xdr:nvSpPr>
        <xdr:cNvPr id="23" name="Text Box 25"/>
        <xdr:cNvSpPr txBox="1">
          <a:spLocks noChangeArrowheads="1"/>
        </xdr:cNvSpPr>
      </xdr:nvSpPr>
      <xdr:spPr>
        <a:xfrm>
          <a:off x="111604425" y="219741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DC4209EW - All households</a:t>
          </a:r>
        </a:p>
      </xdr:txBody>
    </xdr:sp>
    <xdr:clientData/>
  </xdr:oneCellAnchor>
  <xdr:oneCellAnchor>
    <xdr:from>
      <xdr:col>82</xdr:col>
      <xdr:colOff>2143125</xdr:colOff>
      <xdr:row>116</xdr:row>
      <xdr:rowOff>19050</xdr:rowOff>
    </xdr:from>
    <xdr:ext cx="2238375" cy="180975"/>
    <xdr:sp>
      <xdr:nvSpPr>
        <xdr:cNvPr id="24" name="Text Box 26"/>
        <xdr:cNvSpPr txBox="1">
          <a:spLocks noChangeArrowheads="1"/>
        </xdr:cNvSpPr>
      </xdr:nvSpPr>
      <xdr:spPr>
        <a:xfrm>
          <a:off x="124796550" y="220313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</xdr:row>
      <xdr:rowOff>0</xdr:rowOff>
    </xdr:from>
    <xdr:to>
      <xdr:col>41</xdr:col>
      <xdr:colOff>323850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17021175" y="381000"/>
        <a:ext cx="15554325" cy="1143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16</xdr:col>
      <xdr:colOff>85725</xdr:colOff>
      <xdr:row>60</xdr:row>
      <xdr:rowOff>95250</xdr:rowOff>
    </xdr:from>
    <xdr:ext cx="2238375" cy="238125"/>
    <xdr:sp>
      <xdr:nvSpPr>
        <xdr:cNvPr id="2" name="Text Box 2"/>
        <xdr:cNvSpPr txBox="1">
          <a:spLocks noChangeArrowheads="1"/>
        </xdr:cNvSpPr>
      </xdr:nvSpPr>
      <xdr:spPr>
        <a:xfrm>
          <a:off x="17097375" y="11525250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DC6206EWa - All usual residents</a:t>
          </a:r>
        </a:p>
      </xdr:txBody>
    </xdr:sp>
    <xdr:clientData/>
  </xdr:oneCellAnchor>
  <xdr:oneCellAnchor>
    <xdr:from>
      <xdr:col>37</xdr:col>
      <xdr:colOff>428625</xdr:colOff>
      <xdr:row>60</xdr:row>
      <xdr:rowOff>123825</xdr:rowOff>
    </xdr:from>
    <xdr:ext cx="2238375" cy="180975"/>
    <xdr:sp>
      <xdr:nvSpPr>
        <xdr:cNvPr id="3" name="Text Box 3"/>
        <xdr:cNvSpPr txBox="1">
          <a:spLocks noChangeArrowheads="1"/>
        </xdr:cNvSpPr>
      </xdr:nvSpPr>
      <xdr:spPr>
        <a:xfrm>
          <a:off x="30241875" y="115538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69</xdr:col>
      <xdr:colOff>9525</xdr:colOff>
      <xdr:row>2</xdr:row>
      <xdr:rowOff>0</xdr:rowOff>
    </xdr:from>
    <xdr:to>
      <xdr:col>94</xdr:col>
      <xdr:colOff>9525</xdr:colOff>
      <xdr:row>62</xdr:row>
      <xdr:rowOff>9525</xdr:rowOff>
    </xdr:to>
    <xdr:graphicFrame>
      <xdr:nvGraphicFramePr>
        <xdr:cNvPr id="4" name="Chart 4"/>
        <xdr:cNvGraphicFramePr/>
      </xdr:nvGraphicFramePr>
      <xdr:xfrm>
        <a:off x="50320575" y="381000"/>
        <a:ext cx="15240000" cy="1143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90</xdr:col>
      <xdr:colOff>152400</xdr:colOff>
      <xdr:row>60</xdr:row>
      <xdr:rowOff>180975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63265050" y="116109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69</xdr:col>
      <xdr:colOff>104775</xdr:colOff>
      <xdr:row>60</xdr:row>
      <xdr:rowOff>66675</xdr:rowOff>
    </xdr:from>
    <xdr:ext cx="2238375" cy="238125"/>
    <xdr:sp>
      <xdr:nvSpPr>
        <xdr:cNvPr id="6" name="Text Box 6"/>
        <xdr:cNvSpPr txBox="1">
          <a:spLocks noChangeArrowheads="1"/>
        </xdr:cNvSpPr>
      </xdr:nvSpPr>
      <xdr:spPr>
        <a:xfrm>
          <a:off x="50415825" y="114966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DC1201EW - All Households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79</xdr:row>
      <xdr:rowOff>0</xdr:rowOff>
    </xdr:from>
    <xdr:to>
      <xdr:col>24</xdr:col>
      <xdr:colOff>600075</xdr:colOff>
      <xdr:row>154</xdr:row>
      <xdr:rowOff>133350</xdr:rowOff>
    </xdr:to>
    <xdr:graphicFrame>
      <xdr:nvGraphicFramePr>
        <xdr:cNvPr id="1" name="Chart 1"/>
        <xdr:cNvGraphicFramePr/>
      </xdr:nvGraphicFramePr>
      <xdr:xfrm>
        <a:off x="171450" y="14992350"/>
        <a:ext cx="19945350" cy="1311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304800</xdr:colOff>
      <xdr:row>153</xdr:row>
      <xdr:rowOff>66675</xdr:rowOff>
    </xdr:from>
    <xdr:ext cx="1933575" cy="152400"/>
    <xdr:sp>
      <xdr:nvSpPr>
        <xdr:cNvPr id="2" name="Text Box 2"/>
        <xdr:cNvSpPr txBox="1">
          <a:spLocks noChangeArrowheads="1"/>
        </xdr:cNvSpPr>
      </xdr:nvSpPr>
      <xdr:spPr>
        <a:xfrm>
          <a:off x="304800" y="27879675"/>
          <a:ext cx="1933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DC2205EW - All usual residents </a:t>
          </a:r>
        </a:p>
      </xdr:txBody>
    </xdr:sp>
    <xdr:clientData/>
  </xdr:oneCellAnchor>
  <xdr:oneCellAnchor>
    <xdr:from>
      <xdr:col>21</xdr:col>
      <xdr:colOff>333375</xdr:colOff>
      <xdr:row>153</xdr:row>
      <xdr:rowOff>123825</xdr:rowOff>
    </xdr:from>
    <xdr:ext cx="2238375" cy="152400"/>
    <xdr:sp>
      <xdr:nvSpPr>
        <xdr:cNvPr id="3" name="Text Box 3"/>
        <xdr:cNvSpPr txBox="1">
          <a:spLocks noChangeArrowheads="1"/>
        </xdr:cNvSpPr>
      </xdr:nvSpPr>
      <xdr:spPr>
        <a:xfrm>
          <a:off x="17821275" y="27936825"/>
          <a:ext cx="2238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26</xdr:col>
      <xdr:colOff>114300</xdr:colOff>
      <xdr:row>79</xdr:row>
      <xdr:rowOff>9525</xdr:rowOff>
    </xdr:from>
    <xdr:to>
      <xdr:col>35</xdr:col>
      <xdr:colOff>1819275</xdr:colOff>
      <xdr:row>155</xdr:row>
      <xdr:rowOff>28575</xdr:rowOff>
    </xdr:to>
    <xdr:graphicFrame>
      <xdr:nvGraphicFramePr>
        <xdr:cNvPr id="4" name="Chart 4"/>
        <xdr:cNvGraphicFramePr/>
      </xdr:nvGraphicFramePr>
      <xdr:xfrm>
        <a:off x="20421600" y="15001875"/>
        <a:ext cx="19831050" cy="1316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26</xdr:col>
      <xdr:colOff>209550</xdr:colOff>
      <xdr:row>153</xdr:row>
      <xdr:rowOff>123825</xdr:rowOff>
    </xdr:from>
    <xdr:ext cx="1933575" cy="152400"/>
    <xdr:sp>
      <xdr:nvSpPr>
        <xdr:cNvPr id="5" name="Text Box 5"/>
        <xdr:cNvSpPr txBox="1">
          <a:spLocks noChangeArrowheads="1"/>
        </xdr:cNvSpPr>
      </xdr:nvSpPr>
      <xdr:spPr>
        <a:xfrm>
          <a:off x="20516850" y="27936825"/>
          <a:ext cx="1933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DC2103EW - All usual residents </a:t>
          </a:r>
        </a:p>
      </xdr:txBody>
    </xdr:sp>
    <xdr:clientData/>
  </xdr:oneCellAnchor>
  <xdr:oneCellAnchor>
    <xdr:from>
      <xdr:col>34</xdr:col>
      <xdr:colOff>1209675</xdr:colOff>
      <xdr:row>154</xdr:row>
      <xdr:rowOff>19050</xdr:rowOff>
    </xdr:from>
    <xdr:ext cx="2238375" cy="152400"/>
    <xdr:sp>
      <xdr:nvSpPr>
        <xdr:cNvPr id="6" name="Text Box 6"/>
        <xdr:cNvSpPr txBox="1">
          <a:spLocks noChangeArrowheads="1"/>
        </xdr:cNvSpPr>
      </xdr:nvSpPr>
      <xdr:spPr>
        <a:xfrm>
          <a:off x="37957125" y="27993975"/>
          <a:ext cx="2238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37</xdr:col>
      <xdr:colOff>171450</xdr:colOff>
      <xdr:row>108</xdr:row>
      <xdr:rowOff>85725</xdr:rowOff>
    </xdr:from>
    <xdr:to>
      <xdr:col>46</xdr:col>
      <xdr:colOff>1409700</xdr:colOff>
      <xdr:row>155</xdr:row>
      <xdr:rowOff>0</xdr:rowOff>
    </xdr:to>
    <xdr:graphicFrame>
      <xdr:nvGraphicFramePr>
        <xdr:cNvPr id="7" name="Chart 7"/>
        <xdr:cNvGraphicFramePr/>
      </xdr:nvGraphicFramePr>
      <xdr:xfrm>
        <a:off x="40728900" y="20612100"/>
        <a:ext cx="19792950" cy="752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45</xdr:col>
      <xdr:colOff>1123950</xdr:colOff>
      <xdr:row>153</xdr:row>
      <xdr:rowOff>142875</xdr:rowOff>
    </xdr:from>
    <xdr:ext cx="2238375" cy="152400"/>
    <xdr:sp>
      <xdr:nvSpPr>
        <xdr:cNvPr id="8" name="Text Box 8"/>
        <xdr:cNvSpPr txBox="1">
          <a:spLocks noChangeArrowheads="1"/>
        </xdr:cNvSpPr>
      </xdr:nvSpPr>
      <xdr:spPr>
        <a:xfrm>
          <a:off x="58226325" y="27955875"/>
          <a:ext cx="2238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37</xdr:col>
      <xdr:colOff>285750</xdr:colOff>
      <xdr:row>153</xdr:row>
      <xdr:rowOff>95250</xdr:rowOff>
    </xdr:from>
    <xdr:ext cx="1933575" cy="152400"/>
    <xdr:sp>
      <xdr:nvSpPr>
        <xdr:cNvPr id="9" name="Text Box 9"/>
        <xdr:cNvSpPr txBox="1">
          <a:spLocks noChangeArrowheads="1"/>
        </xdr:cNvSpPr>
      </xdr:nvSpPr>
      <xdr:spPr>
        <a:xfrm>
          <a:off x="40843200" y="27908250"/>
          <a:ext cx="1933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DC2802EW - All usual residents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87</xdr:row>
      <xdr:rowOff>104775</xdr:rowOff>
    </xdr:from>
    <xdr:to>
      <xdr:col>9</xdr:col>
      <xdr:colOff>733425</xdr:colOff>
      <xdr:row>118</xdr:row>
      <xdr:rowOff>104775</xdr:rowOff>
    </xdr:to>
    <xdr:graphicFrame>
      <xdr:nvGraphicFramePr>
        <xdr:cNvPr id="1" name="Chart 1"/>
        <xdr:cNvGraphicFramePr/>
      </xdr:nvGraphicFramePr>
      <xdr:xfrm>
        <a:off x="76200" y="16592550"/>
        <a:ext cx="150114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133350</xdr:colOff>
      <xdr:row>117</xdr:row>
      <xdr:rowOff>66675</xdr:rowOff>
    </xdr:from>
    <xdr:ext cx="1933575" cy="180975"/>
    <xdr:sp>
      <xdr:nvSpPr>
        <xdr:cNvPr id="2" name="Text Box 2"/>
        <xdr:cNvSpPr txBox="1">
          <a:spLocks noChangeArrowheads="1"/>
        </xdr:cNvSpPr>
      </xdr:nvSpPr>
      <xdr:spPr>
        <a:xfrm>
          <a:off x="133350" y="21412200"/>
          <a:ext cx="1933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DC2108EW - All usual residents </a:t>
          </a:r>
        </a:p>
      </xdr:txBody>
    </xdr:sp>
    <xdr:clientData/>
  </xdr:oneCellAnchor>
  <xdr:oneCellAnchor>
    <xdr:from>
      <xdr:col>7</xdr:col>
      <xdr:colOff>742950</xdr:colOff>
      <xdr:row>117</xdr:row>
      <xdr:rowOff>66675</xdr:rowOff>
    </xdr:from>
    <xdr:ext cx="2238375" cy="180975"/>
    <xdr:sp>
      <xdr:nvSpPr>
        <xdr:cNvPr id="3" name="Text Box 3"/>
        <xdr:cNvSpPr txBox="1">
          <a:spLocks noChangeArrowheads="1"/>
        </xdr:cNvSpPr>
      </xdr:nvSpPr>
      <xdr:spPr>
        <a:xfrm>
          <a:off x="12782550" y="214122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="70" zoomScaleNormal="70" zoomScalePageLayoutView="0" workbookViewId="0" topLeftCell="A1">
      <selection activeCell="C109" sqref="C109"/>
    </sheetView>
  </sheetViews>
  <sheetFormatPr defaultColWidth="9.140625" defaultRowHeight="12.75"/>
  <cols>
    <col min="1" max="1" width="32.28125" style="219" customWidth="1"/>
    <col min="2" max="2" width="255.421875" style="219" customWidth="1"/>
    <col min="3" max="3" width="27.57421875" style="219" customWidth="1"/>
    <col min="4" max="16384" width="9.140625" style="219" customWidth="1"/>
  </cols>
  <sheetData>
    <row r="1" spans="1:3" ht="21">
      <c r="A1" s="217" t="s">
        <v>374</v>
      </c>
      <c r="C1" s="218"/>
    </row>
    <row r="2" spans="1:3" ht="21">
      <c r="A2" s="224"/>
      <c r="B2" s="224"/>
      <c r="C2" s="218"/>
    </row>
    <row r="3" ht="21">
      <c r="C3" s="220" t="s">
        <v>373</v>
      </c>
    </row>
    <row r="4" spans="1:3" ht="21">
      <c r="A4" s="226" t="s">
        <v>375</v>
      </c>
      <c r="B4" s="226"/>
      <c r="C4" s="226"/>
    </row>
    <row r="5" spans="1:3" ht="21">
      <c r="A5" s="227" t="s">
        <v>377</v>
      </c>
      <c r="B5" s="221" t="s">
        <v>50</v>
      </c>
      <c r="C5" s="222">
        <v>3</v>
      </c>
    </row>
    <row r="6" spans="1:3" ht="21">
      <c r="A6" s="227"/>
      <c r="B6" s="221" t="s">
        <v>51</v>
      </c>
      <c r="C6" s="222">
        <v>3</v>
      </c>
    </row>
    <row r="7" spans="1:3" ht="21">
      <c r="A7" s="227"/>
      <c r="B7" s="221" t="s">
        <v>52</v>
      </c>
      <c r="C7" s="222">
        <v>4</v>
      </c>
    </row>
    <row r="8" spans="1:3" ht="21">
      <c r="A8" s="227"/>
      <c r="B8" s="223" t="s">
        <v>376</v>
      </c>
      <c r="C8" s="221">
        <v>4</v>
      </c>
    </row>
    <row r="9" spans="1:3" ht="21">
      <c r="A9" s="227" t="s">
        <v>378</v>
      </c>
      <c r="B9" s="221" t="s">
        <v>54</v>
      </c>
      <c r="C9" s="222">
        <v>5</v>
      </c>
    </row>
    <row r="10" spans="1:3" ht="21">
      <c r="A10" s="227"/>
      <c r="B10" s="221" t="s">
        <v>55</v>
      </c>
      <c r="C10" s="222">
        <v>5</v>
      </c>
    </row>
    <row r="11" spans="1:3" ht="21">
      <c r="A11" s="227"/>
      <c r="B11" s="221" t="s">
        <v>56</v>
      </c>
      <c r="C11" s="222">
        <v>5</v>
      </c>
    </row>
    <row r="12" spans="1:3" ht="21">
      <c r="A12" s="227"/>
      <c r="B12" s="223" t="s">
        <v>379</v>
      </c>
      <c r="C12" s="221">
        <v>6</v>
      </c>
    </row>
    <row r="13" spans="1:3" ht="21">
      <c r="A13" s="227" t="s">
        <v>380</v>
      </c>
      <c r="B13" s="221" t="s">
        <v>57</v>
      </c>
      <c r="C13" s="222">
        <v>7</v>
      </c>
    </row>
    <row r="14" spans="1:3" ht="21">
      <c r="A14" s="227"/>
      <c r="B14" s="221" t="s">
        <v>62</v>
      </c>
      <c r="C14" s="222">
        <v>7</v>
      </c>
    </row>
    <row r="15" spans="1:3" ht="21">
      <c r="A15" s="227"/>
      <c r="B15" s="221" t="s">
        <v>63</v>
      </c>
      <c r="C15" s="222">
        <v>7</v>
      </c>
    </row>
    <row r="16" spans="1:3" ht="21">
      <c r="A16" s="227"/>
      <c r="B16" s="223" t="s">
        <v>381</v>
      </c>
      <c r="C16" s="221">
        <v>8</v>
      </c>
    </row>
    <row r="17" spans="1:3" ht="21">
      <c r="A17" s="227" t="s">
        <v>382</v>
      </c>
      <c r="B17" s="221" t="s">
        <v>74</v>
      </c>
      <c r="C17" s="222">
        <v>9</v>
      </c>
    </row>
    <row r="18" spans="1:3" ht="21">
      <c r="A18" s="227"/>
      <c r="B18" s="221" t="s">
        <v>74</v>
      </c>
      <c r="C18" s="222">
        <v>9</v>
      </c>
    </row>
    <row r="19" spans="1:3" ht="21">
      <c r="A19" s="227"/>
      <c r="B19" s="221" t="s">
        <v>74</v>
      </c>
      <c r="C19" s="222">
        <v>9</v>
      </c>
    </row>
    <row r="20" spans="1:3" ht="21">
      <c r="A20" s="227"/>
      <c r="B20" s="223" t="s">
        <v>383</v>
      </c>
      <c r="C20" s="221">
        <v>10</v>
      </c>
    </row>
    <row r="22" ht="21">
      <c r="C22" s="220" t="s">
        <v>373</v>
      </c>
    </row>
    <row r="23" spans="1:3" ht="21">
      <c r="A23" s="226" t="s">
        <v>81</v>
      </c>
      <c r="B23" s="226"/>
      <c r="C23" s="226"/>
    </row>
    <row r="24" spans="1:3" ht="21">
      <c r="A24" s="227" t="s">
        <v>384</v>
      </c>
      <c r="B24" s="221" t="s">
        <v>190</v>
      </c>
      <c r="C24" s="222">
        <v>11</v>
      </c>
    </row>
    <row r="25" spans="1:3" ht="21">
      <c r="A25" s="227"/>
      <c r="B25" s="221" t="s">
        <v>194</v>
      </c>
      <c r="C25" s="222">
        <v>11</v>
      </c>
    </row>
    <row r="26" spans="1:3" ht="21">
      <c r="A26" s="227"/>
      <c r="B26" s="221" t="s">
        <v>385</v>
      </c>
      <c r="C26" s="222">
        <v>11</v>
      </c>
    </row>
    <row r="27" spans="1:3" ht="21">
      <c r="A27" s="227" t="s">
        <v>386</v>
      </c>
      <c r="B27" s="221" t="s">
        <v>195</v>
      </c>
      <c r="C27" s="222">
        <v>12</v>
      </c>
    </row>
    <row r="28" spans="1:3" ht="21">
      <c r="A28" s="227"/>
      <c r="B28" s="221" t="s">
        <v>214</v>
      </c>
      <c r="C28" s="222">
        <v>12</v>
      </c>
    </row>
    <row r="29" spans="1:3" ht="21">
      <c r="A29" s="227"/>
      <c r="B29" s="221" t="s">
        <v>216</v>
      </c>
      <c r="C29" s="222">
        <v>13</v>
      </c>
    </row>
    <row r="30" spans="1:3" ht="21">
      <c r="A30" s="227"/>
      <c r="B30" s="223" t="s">
        <v>387</v>
      </c>
      <c r="C30" s="221">
        <v>13</v>
      </c>
    </row>
    <row r="31" spans="1:3" ht="21">
      <c r="A31" s="227" t="s">
        <v>388</v>
      </c>
      <c r="B31" s="221" t="s">
        <v>217</v>
      </c>
      <c r="C31" s="222">
        <v>14</v>
      </c>
    </row>
    <row r="32" spans="1:3" ht="21">
      <c r="A32" s="227"/>
      <c r="B32" s="221" t="s">
        <v>219</v>
      </c>
      <c r="C32" s="222">
        <v>15</v>
      </c>
    </row>
    <row r="33" spans="1:3" ht="21">
      <c r="A33" s="227"/>
      <c r="B33" s="221" t="s">
        <v>389</v>
      </c>
      <c r="C33" s="222">
        <v>15</v>
      </c>
    </row>
    <row r="34" spans="1:3" ht="21">
      <c r="A34" s="227" t="s">
        <v>390</v>
      </c>
      <c r="B34" s="221" t="s">
        <v>238</v>
      </c>
      <c r="C34" s="222">
        <v>16</v>
      </c>
    </row>
    <row r="35" spans="1:3" ht="21">
      <c r="A35" s="227"/>
      <c r="B35" s="221" t="s">
        <v>238</v>
      </c>
      <c r="C35" s="222">
        <v>16</v>
      </c>
    </row>
    <row r="36" spans="1:3" ht="21">
      <c r="A36" s="227"/>
      <c r="B36" s="221" t="s">
        <v>391</v>
      </c>
      <c r="C36" s="222">
        <v>17</v>
      </c>
    </row>
    <row r="37" spans="1:3" ht="21">
      <c r="A37" s="227" t="s">
        <v>392</v>
      </c>
      <c r="B37" s="221" t="s">
        <v>393</v>
      </c>
      <c r="C37" s="222">
        <v>18</v>
      </c>
    </row>
    <row r="38" spans="1:3" ht="21">
      <c r="A38" s="227"/>
      <c r="B38" s="221" t="s">
        <v>252</v>
      </c>
      <c r="C38" s="222">
        <v>18</v>
      </c>
    </row>
    <row r="39" spans="1:3" ht="21">
      <c r="A39" s="227"/>
      <c r="B39" s="221" t="s">
        <v>253</v>
      </c>
      <c r="C39" s="222">
        <v>19</v>
      </c>
    </row>
    <row r="40" spans="1:3" ht="21">
      <c r="A40" s="227"/>
      <c r="B40" s="223" t="s">
        <v>394</v>
      </c>
      <c r="C40" s="221">
        <v>19</v>
      </c>
    </row>
    <row r="42" ht="21">
      <c r="C42" s="220" t="s">
        <v>373</v>
      </c>
    </row>
    <row r="43" spans="1:3" ht="21">
      <c r="A43" s="226" t="s">
        <v>395</v>
      </c>
      <c r="B43" s="226"/>
      <c r="C43" s="226"/>
    </row>
    <row r="44" spans="1:3" ht="21">
      <c r="A44" s="227" t="s">
        <v>396</v>
      </c>
      <c r="B44" s="221" t="s">
        <v>187</v>
      </c>
      <c r="C44" s="222">
        <v>20</v>
      </c>
    </row>
    <row r="45" spans="1:3" ht="21">
      <c r="A45" s="227"/>
      <c r="B45" s="221" t="s">
        <v>187</v>
      </c>
      <c r="C45" s="222">
        <v>20</v>
      </c>
    </row>
    <row r="46" spans="1:3" ht="21">
      <c r="A46" s="227"/>
      <c r="B46" s="221" t="s">
        <v>397</v>
      </c>
      <c r="C46" s="222">
        <v>21</v>
      </c>
    </row>
    <row r="48" ht="21">
      <c r="C48" s="220" t="s">
        <v>373</v>
      </c>
    </row>
    <row r="49" spans="1:3" ht="21">
      <c r="A49" s="226" t="s">
        <v>398</v>
      </c>
      <c r="B49" s="226"/>
      <c r="C49" s="226"/>
    </row>
    <row r="50" spans="1:3" ht="21">
      <c r="A50" s="227" t="s">
        <v>399</v>
      </c>
      <c r="B50" s="221" t="s">
        <v>274</v>
      </c>
      <c r="C50" s="222">
        <v>22</v>
      </c>
    </row>
    <row r="51" spans="1:3" ht="21">
      <c r="A51" s="227"/>
      <c r="B51" s="221" t="s">
        <v>275</v>
      </c>
      <c r="C51" s="222">
        <v>22</v>
      </c>
    </row>
    <row r="52" spans="1:3" ht="21">
      <c r="A52" s="227"/>
      <c r="B52" s="221" t="s">
        <v>400</v>
      </c>
      <c r="C52" s="222">
        <v>23</v>
      </c>
    </row>
    <row r="53" spans="1:3" ht="21">
      <c r="A53" s="227" t="s">
        <v>401</v>
      </c>
      <c r="B53" s="221" t="s">
        <v>277</v>
      </c>
      <c r="C53" s="222">
        <v>24</v>
      </c>
    </row>
    <row r="54" spans="1:3" ht="21">
      <c r="A54" s="227"/>
      <c r="B54" s="221" t="s">
        <v>278</v>
      </c>
      <c r="C54" s="222">
        <v>24</v>
      </c>
    </row>
    <row r="55" spans="1:3" ht="21">
      <c r="A55" s="227"/>
      <c r="B55" s="221" t="s">
        <v>402</v>
      </c>
      <c r="C55" s="222">
        <v>25</v>
      </c>
    </row>
    <row r="56" spans="1:3" ht="21">
      <c r="A56" s="227" t="s">
        <v>403</v>
      </c>
      <c r="B56" s="221" t="s">
        <v>281</v>
      </c>
      <c r="C56" s="222">
        <v>26</v>
      </c>
    </row>
    <row r="57" spans="1:3" ht="21">
      <c r="A57" s="227"/>
      <c r="B57" s="221" t="s">
        <v>283</v>
      </c>
      <c r="C57" s="222">
        <v>26</v>
      </c>
    </row>
    <row r="58" spans="1:3" ht="21">
      <c r="A58" s="227"/>
      <c r="B58" s="221" t="s">
        <v>404</v>
      </c>
      <c r="C58" s="222">
        <v>27</v>
      </c>
    </row>
    <row r="59" spans="1:3" ht="21">
      <c r="A59" s="227" t="s">
        <v>406</v>
      </c>
      <c r="B59" s="221" t="s">
        <v>289</v>
      </c>
      <c r="C59" s="222">
        <v>28</v>
      </c>
    </row>
    <row r="60" spans="1:3" ht="21">
      <c r="A60" s="227"/>
      <c r="B60" s="221" t="s">
        <v>292</v>
      </c>
      <c r="C60" s="222">
        <v>28</v>
      </c>
    </row>
    <row r="61" spans="1:3" ht="21">
      <c r="A61" s="227"/>
      <c r="B61" s="221" t="s">
        <v>405</v>
      </c>
      <c r="C61" s="222">
        <v>29</v>
      </c>
    </row>
    <row r="62" spans="1:3" ht="21">
      <c r="A62" s="227" t="s">
        <v>407</v>
      </c>
      <c r="B62" s="221" t="s">
        <v>304</v>
      </c>
      <c r="C62" s="222">
        <v>30</v>
      </c>
    </row>
    <row r="63" spans="1:3" ht="21">
      <c r="A63" s="227"/>
      <c r="B63" s="221" t="s">
        <v>306</v>
      </c>
      <c r="C63" s="222">
        <v>30</v>
      </c>
    </row>
    <row r="64" spans="1:3" ht="21">
      <c r="A64" s="227"/>
      <c r="B64" s="221" t="s">
        <v>307</v>
      </c>
      <c r="C64" s="222">
        <v>31</v>
      </c>
    </row>
    <row r="65" spans="1:3" ht="21">
      <c r="A65" s="227"/>
      <c r="B65" s="223" t="s">
        <v>408</v>
      </c>
      <c r="C65" s="221">
        <v>31</v>
      </c>
    </row>
    <row r="66" spans="1:3" ht="21">
      <c r="A66" s="227" t="s">
        <v>409</v>
      </c>
      <c r="B66" s="221" t="s">
        <v>320</v>
      </c>
      <c r="C66" s="222">
        <v>32</v>
      </c>
    </row>
    <row r="67" spans="1:3" ht="21">
      <c r="A67" s="227"/>
      <c r="B67" s="221" t="s">
        <v>321</v>
      </c>
      <c r="C67" s="222">
        <v>32</v>
      </c>
    </row>
    <row r="68" spans="1:3" ht="21">
      <c r="A68" s="227"/>
      <c r="B68" s="221" t="s">
        <v>322</v>
      </c>
      <c r="C68" s="222">
        <v>33</v>
      </c>
    </row>
    <row r="69" spans="1:3" ht="21">
      <c r="A69" s="227"/>
      <c r="B69" s="223" t="s">
        <v>410</v>
      </c>
      <c r="C69" s="221">
        <v>33</v>
      </c>
    </row>
    <row r="70" spans="1:3" ht="21">
      <c r="A70" s="227" t="s">
        <v>411</v>
      </c>
      <c r="B70" s="221" t="s">
        <v>326</v>
      </c>
      <c r="C70" s="222">
        <v>34</v>
      </c>
    </row>
    <row r="71" spans="1:3" ht="21">
      <c r="A71" s="227"/>
      <c r="B71" s="221" t="s">
        <v>328</v>
      </c>
      <c r="C71" s="222">
        <v>34</v>
      </c>
    </row>
    <row r="72" spans="1:3" ht="21">
      <c r="A72" s="227"/>
      <c r="B72" s="221" t="s">
        <v>329</v>
      </c>
      <c r="C72" s="222">
        <v>35</v>
      </c>
    </row>
    <row r="73" spans="1:3" ht="21">
      <c r="A73" s="227"/>
      <c r="B73" s="223" t="s">
        <v>412</v>
      </c>
      <c r="C73" s="221">
        <v>35</v>
      </c>
    </row>
    <row r="74" spans="1:3" ht="21">
      <c r="A74" s="227" t="s">
        <v>413</v>
      </c>
      <c r="B74" s="221" t="s">
        <v>337</v>
      </c>
      <c r="C74" s="222">
        <v>36</v>
      </c>
    </row>
    <row r="75" spans="1:3" ht="21">
      <c r="A75" s="227"/>
      <c r="B75" s="221" t="s">
        <v>338</v>
      </c>
      <c r="C75" s="222">
        <v>36</v>
      </c>
    </row>
    <row r="76" spans="1:3" ht="21">
      <c r="A76" s="227"/>
      <c r="B76" s="221" t="s">
        <v>339</v>
      </c>
      <c r="C76" s="222">
        <v>37</v>
      </c>
    </row>
    <row r="77" spans="1:3" ht="21">
      <c r="A77" s="227"/>
      <c r="B77" s="223" t="s">
        <v>414</v>
      </c>
      <c r="C77" s="221">
        <v>37</v>
      </c>
    </row>
    <row r="79" ht="21">
      <c r="C79" s="220" t="s">
        <v>373</v>
      </c>
    </row>
    <row r="80" spans="1:3" ht="21">
      <c r="A80" s="226" t="s">
        <v>416</v>
      </c>
      <c r="B80" s="226"/>
      <c r="C80" s="226"/>
    </row>
    <row r="81" spans="1:3" ht="21">
      <c r="A81" s="227" t="s">
        <v>415</v>
      </c>
      <c r="B81" s="221" t="s">
        <v>340</v>
      </c>
      <c r="C81" s="222">
        <v>38</v>
      </c>
    </row>
    <row r="82" spans="1:3" ht="21">
      <c r="A82" s="227"/>
      <c r="B82" s="221" t="s">
        <v>343</v>
      </c>
      <c r="C82" s="222">
        <v>38</v>
      </c>
    </row>
    <row r="83" spans="1:3" ht="21">
      <c r="A83" s="227"/>
      <c r="B83" s="221" t="s">
        <v>417</v>
      </c>
      <c r="C83" s="222">
        <v>39</v>
      </c>
    </row>
    <row r="84" spans="1:3" ht="21">
      <c r="A84" s="227" t="s">
        <v>418</v>
      </c>
      <c r="B84" s="221" t="s">
        <v>363</v>
      </c>
      <c r="C84" s="222">
        <v>40</v>
      </c>
    </row>
    <row r="85" spans="1:3" ht="21">
      <c r="A85" s="227"/>
      <c r="B85" s="221" t="s">
        <v>372</v>
      </c>
      <c r="C85" s="222">
        <v>40</v>
      </c>
    </row>
    <row r="86" spans="1:3" ht="21">
      <c r="A86" s="227"/>
      <c r="B86" s="221" t="s">
        <v>419</v>
      </c>
      <c r="C86" s="222">
        <v>41</v>
      </c>
    </row>
    <row r="88" ht="21">
      <c r="C88" s="220" t="s">
        <v>373</v>
      </c>
    </row>
    <row r="89" spans="1:3" ht="21">
      <c r="A89" s="226" t="s">
        <v>153</v>
      </c>
      <c r="B89" s="226"/>
      <c r="C89" s="226"/>
    </row>
    <row r="90" spans="1:3" ht="21">
      <c r="A90" s="227" t="s">
        <v>420</v>
      </c>
      <c r="B90" s="221" t="s">
        <v>154</v>
      </c>
      <c r="C90" s="222">
        <v>42</v>
      </c>
    </row>
    <row r="91" spans="1:3" ht="21">
      <c r="A91" s="227"/>
      <c r="B91" s="221" t="s">
        <v>156</v>
      </c>
      <c r="C91" s="222">
        <v>42</v>
      </c>
    </row>
    <row r="92" spans="1:3" ht="21">
      <c r="A92" s="227"/>
      <c r="B92" s="221" t="s">
        <v>421</v>
      </c>
      <c r="C92" s="222">
        <v>43</v>
      </c>
    </row>
    <row r="93" spans="1:3" ht="21">
      <c r="A93" s="227" t="s">
        <v>422</v>
      </c>
      <c r="B93" s="221" t="s">
        <v>157</v>
      </c>
      <c r="C93" s="222">
        <v>44</v>
      </c>
    </row>
    <row r="94" spans="1:3" ht="21">
      <c r="A94" s="227"/>
      <c r="B94" s="221" t="s">
        <v>162</v>
      </c>
      <c r="C94" s="222">
        <v>44</v>
      </c>
    </row>
    <row r="95" spans="1:3" ht="21">
      <c r="A95" s="227"/>
      <c r="B95" s="221" t="s">
        <v>423</v>
      </c>
      <c r="C95" s="222">
        <v>45</v>
      </c>
    </row>
    <row r="96" spans="1:3" ht="21">
      <c r="A96" s="227" t="s">
        <v>424</v>
      </c>
      <c r="B96" s="221" t="s">
        <v>161</v>
      </c>
      <c r="C96" s="222">
        <v>46</v>
      </c>
    </row>
    <row r="97" spans="1:3" ht="21">
      <c r="A97" s="227"/>
      <c r="B97" s="221" t="s">
        <v>163</v>
      </c>
      <c r="C97" s="222">
        <v>46</v>
      </c>
    </row>
    <row r="98" spans="1:3" ht="21">
      <c r="A98" s="227"/>
      <c r="B98" s="221" t="s">
        <v>165</v>
      </c>
      <c r="C98" s="222">
        <v>47</v>
      </c>
    </row>
    <row r="99" spans="1:3" ht="21">
      <c r="A99" s="227"/>
      <c r="B99" s="223" t="s">
        <v>425</v>
      </c>
      <c r="C99" s="221">
        <v>47</v>
      </c>
    </row>
    <row r="101" ht="21">
      <c r="C101" s="220" t="s">
        <v>373</v>
      </c>
    </row>
    <row r="102" spans="1:3" ht="21">
      <c r="A102" s="226" t="s">
        <v>123</v>
      </c>
      <c r="B102" s="226"/>
      <c r="C102" s="226"/>
    </row>
    <row r="103" spans="1:3" ht="21">
      <c r="A103" s="227" t="s">
        <v>377</v>
      </c>
      <c r="B103" s="221" t="s">
        <v>96</v>
      </c>
      <c r="C103" s="225">
        <v>48</v>
      </c>
    </row>
    <row r="104" spans="1:3" ht="21">
      <c r="A104" s="227"/>
      <c r="B104" s="221" t="s">
        <v>121</v>
      </c>
      <c r="C104" s="222">
        <v>48</v>
      </c>
    </row>
    <row r="105" spans="1:3" ht="21">
      <c r="A105" s="227"/>
      <c r="B105" s="221" t="s">
        <v>122</v>
      </c>
      <c r="C105" s="222">
        <v>49</v>
      </c>
    </row>
    <row r="106" spans="1:3" ht="21">
      <c r="A106" s="227"/>
      <c r="B106" s="223" t="s">
        <v>426</v>
      </c>
      <c r="C106" s="221">
        <v>49</v>
      </c>
    </row>
  </sheetData>
  <sheetProtection/>
  <mergeCells count="31">
    <mergeCell ref="A96:A99"/>
    <mergeCell ref="A102:C102"/>
    <mergeCell ref="A103:A106"/>
    <mergeCell ref="A84:A86"/>
    <mergeCell ref="A89:C89"/>
    <mergeCell ref="A90:A92"/>
    <mergeCell ref="A93:A95"/>
    <mergeCell ref="A62:A65"/>
    <mergeCell ref="A66:A69"/>
    <mergeCell ref="A70:A73"/>
    <mergeCell ref="A74:A77"/>
    <mergeCell ref="A80:C80"/>
    <mergeCell ref="A81:A83"/>
    <mergeCell ref="A44:A46"/>
    <mergeCell ref="A49:C49"/>
    <mergeCell ref="A50:A52"/>
    <mergeCell ref="A53:A55"/>
    <mergeCell ref="A56:A58"/>
    <mergeCell ref="A59:A61"/>
    <mergeCell ref="A24:A26"/>
    <mergeCell ref="A27:A30"/>
    <mergeCell ref="A31:A33"/>
    <mergeCell ref="A34:A36"/>
    <mergeCell ref="A37:A40"/>
    <mergeCell ref="A43:C43"/>
    <mergeCell ref="A4:C4"/>
    <mergeCell ref="A5:A8"/>
    <mergeCell ref="A9:A12"/>
    <mergeCell ref="A13:A16"/>
    <mergeCell ref="A17:A20"/>
    <mergeCell ref="A23:C23"/>
  </mergeCells>
  <hyperlinks>
    <hyperlink ref="A4:C4" location="Language!A1" display="Language"/>
    <hyperlink ref="A23:C23" location="Religion!A1" display="Religion"/>
    <hyperlink ref="A43:C43" location="'National Identity'!A1" display="National Identity"/>
    <hyperlink ref="A49:C49" location="'Ethnic Group (1)'!A1" display="Ethnic Group (1)"/>
    <hyperlink ref="A80:C80" location="'Ethnic Group (2)'!A1" display="Ethnic Group (2)"/>
    <hyperlink ref="A89:C89" location="'Country of Birth'!A1" display="Country of Birth"/>
    <hyperlink ref="A102:C102" location="'Passports Held'!A1" display="Passports Held"/>
  </hyperlinks>
  <printOptions/>
  <pageMargins left="0.25" right="0.25" top="0.25" bottom="0.38" header="0.25" footer="0.25"/>
  <pageSetup horizontalDpi="300" verticalDpi="300" orientation="landscape" paperSize="9" scale="44" r:id="rId1"/>
  <headerFooter alignWithMargins="0">
    <oddFooter>&amp;L2011 Census Detailed Characteristics - Cultural Characteristics - &amp;A &amp;R&amp;P</oddFooter>
  </headerFooter>
  <rowBreaks count="1" manualBreakCount="1">
    <brk id="4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72"/>
  <sheetViews>
    <sheetView view="pageBreakPreview" zoomScale="60" zoomScalePageLayoutView="0" workbookViewId="0" topLeftCell="AB1">
      <selection activeCell="AW69" sqref="AW69"/>
    </sheetView>
  </sheetViews>
  <sheetFormatPr defaultColWidth="9.140625" defaultRowHeight="12.75"/>
  <cols>
    <col min="1" max="1" width="55.8515625" style="0" customWidth="1"/>
    <col min="2" max="2" width="15.140625" style="0" customWidth="1"/>
    <col min="3" max="3" width="16.57421875" style="0" customWidth="1"/>
    <col min="4" max="4" width="15.8515625" style="0" customWidth="1"/>
    <col min="5" max="6" width="15.28125" style="0" customWidth="1"/>
    <col min="7" max="7" width="14.7109375" style="0" customWidth="1"/>
    <col min="8" max="8" width="14.421875" style="0" customWidth="1"/>
    <col min="9" max="9" width="15.421875" style="0" customWidth="1"/>
    <col min="10" max="10" width="17.7109375" style="0" customWidth="1"/>
    <col min="11" max="11" width="1.7109375" style="0" customWidth="1"/>
    <col min="12" max="12" width="32.7109375" style="0" customWidth="1"/>
    <col min="13" max="13" width="23.28125" style="0" customWidth="1"/>
    <col min="14" max="14" width="25.8515625" style="0" bestFit="1" customWidth="1"/>
    <col min="15" max="15" width="21.28125" style="0" bestFit="1" customWidth="1"/>
    <col min="16" max="16" width="24.28125" style="0" bestFit="1" customWidth="1"/>
    <col min="17" max="17" width="19.8515625" style="0" bestFit="1" customWidth="1"/>
    <col min="18" max="18" width="31.8515625" style="0" bestFit="1" customWidth="1"/>
    <col min="19" max="19" width="22.7109375" style="0" customWidth="1"/>
    <col min="20" max="20" width="2.00390625" style="0" customWidth="1"/>
    <col min="21" max="21" width="33.28125" style="0" customWidth="1"/>
    <col min="22" max="22" width="23.28125" style="0" customWidth="1"/>
    <col min="23" max="23" width="25.7109375" style="0" customWidth="1"/>
    <col min="24" max="24" width="20.7109375" style="0" customWidth="1"/>
    <col min="25" max="25" width="25.00390625" style="0" customWidth="1"/>
    <col min="26" max="26" width="20.00390625" style="0" customWidth="1"/>
    <col min="27" max="27" width="32.8515625" style="0" customWidth="1"/>
    <col min="28" max="28" width="19.28125" style="0" customWidth="1"/>
    <col min="29" max="29" width="1.28515625" style="0" customWidth="1"/>
    <col min="30" max="30" width="46.140625" style="0" customWidth="1"/>
    <col min="31" max="31" width="23.00390625" style="0" bestFit="1" customWidth="1"/>
    <col min="32" max="32" width="52.7109375" style="0" customWidth="1"/>
    <col min="33" max="33" width="54.7109375" style="0" customWidth="1"/>
    <col min="34" max="34" width="13.421875" style="0" customWidth="1"/>
    <col min="35" max="35" width="19.8515625" style="0" bestFit="1" customWidth="1"/>
    <col min="36" max="36" width="31.8515625" style="0" bestFit="1" customWidth="1"/>
    <col min="37" max="37" width="10.7109375" style="0" customWidth="1"/>
  </cols>
  <sheetData>
    <row r="1" spans="1:30" ht="15.75">
      <c r="A1" s="1" t="s">
        <v>50</v>
      </c>
      <c r="L1" s="1" t="s">
        <v>54</v>
      </c>
      <c r="U1" s="1" t="s">
        <v>57</v>
      </c>
      <c r="AD1" s="1" t="s">
        <v>74</v>
      </c>
    </row>
    <row r="2" spans="1:37" ht="15">
      <c r="A2" s="254" t="s">
        <v>53</v>
      </c>
      <c r="B2" s="256" t="s">
        <v>28</v>
      </c>
      <c r="C2" s="256"/>
      <c r="D2" s="256"/>
      <c r="E2" s="256"/>
      <c r="F2" s="256"/>
      <c r="G2" s="256"/>
      <c r="H2" s="256"/>
      <c r="I2" s="256"/>
      <c r="J2" s="256"/>
      <c r="L2" s="230" t="s">
        <v>32</v>
      </c>
      <c r="M2" s="28"/>
      <c r="N2" s="232" t="s">
        <v>41</v>
      </c>
      <c r="O2" s="233"/>
      <c r="P2" s="233"/>
      <c r="Q2" s="233"/>
      <c r="R2" s="245"/>
      <c r="S2" s="246" t="s">
        <v>48</v>
      </c>
      <c r="U2" s="230" t="s">
        <v>64</v>
      </c>
      <c r="V2" s="28"/>
      <c r="W2" s="232" t="s">
        <v>41</v>
      </c>
      <c r="X2" s="233"/>
      <c r="Y2" s="233"/>
      <c r="Z2" s="233"/>
      <c r="AA2" s="245"/>
      <c r="AB2" s="246" t="s">
        <v>48</v>
      </c>
      <c r="AD2" s="230" t="s">
        <v>64</v>
      </c>
      <c r="AE2" s="47"/>
      <c r="AF2" s="232" t="s">
        <v>41</v>
      </c>
      <c r="AG2" s="233"/>
      <c r="AH2" s="234" t="s">
        <v>20</v>
      </c>
      <c r="AI2" s="45"/>
      <c r="AJ2" s="45"/>
      <c r="AK2" s="243"/>
    </row>
    <row r="3" spans="1:37" ht="15" customHeight="1">
      <c r="A3" s="255"/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29</v>
      </c>
      <c r="J3" s="2" t="s">
        <v>20</v>
      </c>
      <c r="L3" s="249"/>
      <c r="M3" s="29" t="s">
        <v>40</v>
      </c>
      <c r="N3" s="26" t="s">
        <v>42</v>
      </c>
      <c r="O3" s="19" t="s">
        <v>43</v>
      </c>
      <c r="P3" s="19" t="s">
        <v>44</v>
      </c>
      <c r="Q3" s="19" t="s">
        <v>45</v>
      </c>
      <c r="R3" s="19" t="s">
        <v>46</v>
      </c>
      <c r="S3" s="247"/>
      <c r="U3" s="249"/>
      <c r="V3" s="29" t="s">
        <v>40</v>
      </c>
      <c r="W3" s="26" t="s">
        <v>42</v>
      </c>
      <c r="X3" s="19" t="s">
        <v>43</v>
      </c>
      <c r="Y3" s="19" t="s">
        <v>44</v>
      </c>
      <c r="Z3" s="19" t="s">
        <v>45</v>
      </c>
      <c r="AA3" s="19" t="s">
        <v>46</v>
      </c>
      <c r="AB3" s="247"/>
      <c r="AD3" s="231"/>
      <c r="AE3" s="237" t="s">
        <v>40</v>
      </c>
      <c r="AF3" s="239" t="s">
        <v>76</v>
      </c>
      <c r="AG3" s="241" t="s">
        <v>77</v>
      </c>
      <c r="AH3" s="235"/>
      <c r="AI3" s="35"/>
      <c r="AJ3" s="35"/>
      <c r="AK3" s="244"/>
    </row>
    <row r="4" spans="1:37" ht="15">
      <c r="A4" s="3" t="s">
        <v>30</v>
      </c>
      <c r="B4" s="4">
        <v>32170</v>
      </c>
      <c r="C4" s="4">
        <v>28209</v>
      </c>
      <c r="D4" s="4">
        <v>71487</v>
      </c>
      <c r="E4" s="4">
        <v>55693</v>
      </c>
      <c r="F4" s="4">
        <v>30867</v>
      </c>
      <c r="G4" s="4">
        <v>12444</v>
      </c>
      <c r="H4" s="4">
        <v>7673</v>
      </c>
      <c r="I4" s="4">
        <v>3399</v>
      </c>
      <c r="J4" s="5">
        <v>241942</v>
      </c>
      <c r="L4" s="20" t="s">
        <v>33</v>
      </c>
      <c r="M4" s="27">
        <v>182030</v>
      </c>
      <c r="N4" s="4">
        <v>1889</v>
      </c>
      <c r="O4" s="4">
        <v>632</v>
      </c>
      <c r="P4" s="4">
        <v>274</v>
      </c>
      <c r="Q4" s="4">
        <v>134</v>
      </c>
      <c r="R4" s="4">
        <v>2929</v>
      </c>
      <c r="S4" s="5">
        <v>184959</v>
      </c>
      <c r="U4" s="20" t="s">
        <v>58</v>
      </c>
      <c r="V4" s="42">
        <v>32170</v>
      </c>
      <c r="W4" s="42">
        <v>2993</v>
      </c>
      <c r="X4" s="42">
        <v>1236</v>
      </c>
      <c r="Y4" s="42">
        <v>450</v>
      </c>
      <c r="Z4" s="42">
        <v>142</v>
      </c>
      <c r="AA4" s="42">
        <v>4821</v>
      </c>
      <c r="AB4" s="5">
        <f aca="true" t="shared" si="0" ref="AB4:AB9">V4+W4+X4+Y4+Z4</f>
        <v>36991</v>
      </c>
      <c r="AD4" s="48"/>
      <c r="AE4" s="238"/>
      <c r="AF4" s="240"/>
      <c r="AG4" s="242"/>
      <c r="AH4" s="236"/>
      <c r="AI4" s="46"/>
      <c r="AJ4" s="46"/>
      <c r="AK4" s="41"/>
    </row>
    <row r="5" spans="1:37" ht="15">
      <c r="A5" s="3" t="s">
        <v>0</v>
      </c>
      <c r="B5" s="4">
        <v>668</v>
      </c>
      <c r="C5" s="4">
        <v>372</v>
      </c>
      <c r="D5" s="4">
        <v>1318</v>
      </c>
      <c r="E5" s="4">
        <v>1392</v>
      </c>
      <c r="F5" s="4">
        <v>286</v>
      </c>
      <c r="G5" s="4">
        <v>80</v>
      </c>
      <c r="H5" s="4">
        <v>49</v>
      </c>
      <c r="I5" s="4">
        <v>16</v>
      </c>
      <c r="J5" s="5">
        <v>4181</v>
      </c>
      <c r="L5" s="20" t="s">
        <v>47</v>
      </c>
      <c r="M5" s="4">
        <v>59912</v>
      </c>
      <c r="N5" s="4">
        <v>24207</v>
      </c>
      <c r="O5" s="4">
        <v>17417</v>
      </c>
      <c r="P5" s="4">
        <v>5776</v>
      </c>
      <c r="Q5" s="4">
        <v>709</v>
      </c>
      <c r="R5" s="4">
        <v>48109</v>
      </c>
      <c r="S5" s="5">
        <v>108021</v>
      </c>
      <c r="U5" s="20" t="s">
        <v>22</v>
      </c>
      <c r="V5" s="42">
        <v>28209</v>
      </c>
      <c r="W5" s="42">
        <v>3225</v>
      </c>
      <c r="X5" s="42">
        <v>1969</v>
      </c>
      <c r="Y5" s="42">
        <v>421</v>
      </c>
      <c r="Z5" s="42">
        <v>37</v>
      </c>
      <c r="AA5" s="42">
        <v>5652</v>
      </c>
      <c r="AB5" s="5">
        <f t="shared" si="0"/>
        <v>33861</v>
      </c>
      <c r="AD5" s="3" t="s">
        <v>65</v>
      </c>
      <c r="AE5" s="4">
        <v>26252</v>
      </c>
      <c r="AF5" s="4">
        <v>3730</v>
      </c>
      <c r="AG5" s="4">
        <v>189</v>
      </c>
      <c r="AH5" s="49">
        <f>AG5+AF5+AE5</f>
        <v>30171</v>
      </c>
      <c r="AI5" s="46"/>
      <c r="AJ5" s="46"/>
      <c r="AK5" s="41"/>
    </row>
    <row r="6" spans="1:37" ht="15">
      <c r="A6" s="3" t="s">
        <v>1</v>
      </c>
      <c r="B6" s="4">
        <v>211</v>
      </c>
      <c r="C6" s="4">
        <v>305</v>
      </c>
      <c r="D6" s="4">
        <v>1150</v>
      </c>
      <c r="E6" s="4">
        <v>964</v>
      </c>
      <c r="F6" s="4">
        <v>274</v>
      </c>
      <c r="G6" s="4">
        <v>79</v>
      </c>
      <c r="H6" s="4">
        <v>22</v>
      </c>
      <c r="I6" s="4">
        <v>4</v>
      </c>
      <c r="J6" s="5">
        <v>3009</v>
      </c>
      <c r="L6" s="20" t="s">
        <v>34</v>
      </c>
      <c r="M6" s="4">
        <v>16614</v>
      </c>
      <c r="N6" s="4">
        <v>4061</v>
      </c>
      <c r="O6" s="4">
        <v>1521</v>
      </c>
      <c r="P6" s="4">
        <v>415</v>
      </c>
      <c r="Q6" s="4">
        <v>84</v>
      </c>
      <c r="R6" s="4">
        <v>6081</v>
      </c>
      <c r="S6" s="5">
        <v>22695</v>
      </c>
      <c r="U6" s="20" t="s">
        <v>23</v>
      </c>
      <c r="V6" s="42">
        <v>71487</v>
      </c>
      <c r="W6" s="42">
        <v>9824</v>
      </c>
      <c r="X6" s="42">
        <v>6213</v>
      </c>
      <c r="Y6" s="42">
        <v>1350</v>
      </c>
      <c r="Z6" s="42">
        <v>83</v>
      </c>
      <c r="AA6" s="42">
        <v>17470</v>
      </c>
      <c r="AB6" s="5">
        <f t="shared" si="0"/>
        <v>88957</v>
      </c>
      <c r="AD6" s="3" t="s">
        <v>66</v>
      </c>
      <c r="AE6" s="4">
        <v>53979</v>
      </c>
      <c r="AF6" s="4">
        <v>6315</v>
      </c>
      <c r="AG6" s="4">
        <v>251</v>
      </c>
      <c r="AH6" s="49">
        <f aca="true" t="shared" si="1" ref="AH6:AH14">AG6+AF6+AE6</f>
        <v>60545</v>
      </c>
      <c r="AI6" s="46"/>
      <c r="AJ6" s="46"/>
      <c r="AK6" s="41"/>
    </row>
    <row r="7" spans="1:37" ht="15">
      <c r="A7" s="3" t="s">
        <v>2</v>
      </c>
      <c r="B7" s="4">
        <v>172</v>
      </c>
      <c r="C7" s="4">
        <v>281</v>
      </c>
      <c r="D7" s="4">
        <v>1362</v>
      </c>
      <c r="E7" s="4">
        <v>1101</v>
      </c>
      <c r="F7" s="4">
        <v>291</v>
      </c>
      <c r="G7" s="4">
        <v>127</v>
      </c>
      <c r="H7" s="4">
        <v>54</v>
      </c>
      <c r="I7" s="4">
        <v>12</v>
      </c>
      <c r="J7" s="5">
        <v>3400</v>
      </c>
      <c r="L7" s="20" t="s">
        <v>35</v>
      </c>
      <c r="M7" s="4">
        <v>19669</v>
      </c>
      <c r="N7" s="4">
        <v>9058</v>
      </c>
      <c r="O7" s="4">
        <v>6207</v>
      </c>
      <c r="P7" s="4">
        <v>1299</v>
      </c>
      <c r="Q7" s="4">
        <v>61</v>
      </c>
      <c r="R7" s="4">
        <v>16625</v>
      </c>
      <c r="S7" s="5">
        <v>36294</v>
      </c>
      <c r="U7" s="20" t="s">
        <v>24</v>
      </c>
      <c r="V7" s="42">
        <v>55693</v>
      </c>
      <c r="W7" s="42">
        <v>6963</v>
      </c>
      <c r="X7" s="42">
        <v>5377</v>
      </c>
      <c r="Y7" s="42">
        <v>1973</v>
      </c>
      <c r="Z7" s="42">
        <v>157</v>
      </c>
      <c r="AA7" s="42">
        <v>14470</v>
      </c>
      <c r="AB7" s="5">
        <f t="shared" si="0"/>
        <v>70163</v>
      </c>
      <c r="AD7" s="3" t="s">
        <v>67</v>
      </c>
      <c r="AE7" s="4">
        <v>40640</v>
      </c>
      <c r="AF7" s="4">
        <v>4872</v>
      </c>
      <c r="AG7" s="4">
        <v>167</v>
      </c>
      <c r="AH7" s="49">
        <f t="shared" si="1"/>
        <v>45679</v>
      </c>
      <c r="AI7" s="46"/>
      <c r="AJ7" s="46"/>
      <c r="AK7" s="41"/>
    </row>
    <row r="8" spans="1:37" ht="15">
      <c r="A8" s="3" t="s">
        <v>3</v>
      </c>
      <c r="B8" s="4">
        <v>498</v>
      </c>
      <c r="C8" s="4">
        <v>580</v>
      </c>
      <c r="D8" s="4">
        <v>3266</v>
      </c>
      <c r="E8" s="4">
        <v>1319</v>
      </c>
      <c r="F8" s="4">
        <v>333</v>
      </c>
      <c r="G8" s="4">
        <v>60</v>
      </c>
      <c r="H8" s="4">
        <v>78</v>
      </c>
      <c r="I8" s="4">
        <v>57</v>
      </c>
      <c r="J8" s="6">
        <v>6191</v>
      </c>
      <c r="L8" s="20" t="s">
        <v>36</v>
      </c>
      <c r="M8" s="4">
        <v>18582</v>
      </c>
      <c r="N8" s="4">
        <v>8754</v>
      </c>
      <c r="O8" s="4">
        <v>6760</v>
      </c>
      <c r="P8" s="4">
        <v>2014</v>
      </c>
      <c r="Q8" s="4">
        <v>126</v>
      </c>
      <c r="R8" s="4">
        <v>17654</v>
      </c>
      <c r="S8" s="5">
        <v>36236</v>
      </c>
      <c r="U8" s="20" t="s">
        <v>25</v>
      </c>
      <c r="V8" s="42">
        <v>30867</v>
      </c>
      <c r="W8" s="42">
        <v>2005</v>
      </c>
      <c r="X8" s="42">
        <v>2028</v>
      </c>
      <c r="Y8" s="42">
        <v>1049</v>
      </c>
      <c r="Z8" s="42">
        <v>148</v>
      </c>
      <c r="AA8" s="42">
        <v>5230</v>
      </c>
      <c r="AB8" s="5">
        <f t="shared" si="0"/>
        <v>36097</v>
      </c>
      <c r="AD8" s="3" t="s">
        <v>68</v>
      </c>
      <c r="AE8" s="4">
        <v>23120</v>
      </c>
      <c r="AF8" s="4">
        <v>3399</v>
      </c>
      <c r="AG8" s="4">
        <v>171</v>
      </c>
      <c r="AH8" s="49">
        <f t="shared" si="1"/>
        <v>26690</v>
      </c>
      <c r="AI8" s="46"/>
      <c r="AJ8" s="46"/>
      <c r="AK8" s="41"/>
    </row>
    <row r="9" spans="1:37" ht="15">
      <c r="A9" s="3" t="s">
        <v>4</v>
      </c>
      <c r="B9" s="4">
        <v>504</v>
      </c>
      <c r="C9" s="4">
        <v>1204</v>
      </c>
      <c r="D9" s="4">
        <v>4691</v>
      </c>
      <c r="E9" s="4">
        <v>2733</v>
      </c>
      <c r="F9" s="4">
        <v>549</v>
      </c>
      <c r="G9" s="4">
        <v>275</v>
      </c>
      <c r="H9" s="4">
        <v>179</v>
      </c>
      <c r="I9" s="4">
        <v>51</v>
      </c>
      <c r="J9" s="6">
        <v>10186</v>
      </c>
      <c r="L9" s="20" t="s">
        <v>37</v>
      </c>
      <c r="M9" s="4">
        <v>3976</v>
      </c>
      <c r="N9" s="4">
        <v>2024</v>
      </c>
      <c r="O9" s="4">
        <v>2471</v>
      </c>
      <c r="P9" s="4">
        <v>1556</v>
      </c>
      <c r="Q9" s="4">
        <v>207</v>
      </c>
      <c r="R9" s="4">
        <v>6258</v>
      </c>
      <c r="S9" s="5">
        <v>10234</v>
      </c>
      <c r="U9" s="20" t="s">
        <v>59</v>
      </c>
      <c r="V9" s="42">
        <v>23516</v>
      </c>
      <c r="W9" s="42">
        <v>1086</v>
      </c>
      <c r="X9" s="42">
        <v>1226</v>
      </c>
      <c r="Y9" s="42">
        <v>807</v>
      </c>
      <c r="Z9" s="42">
        <v>276</v>
      </c>
      <c r="AA9" s="42">
        <v>3395</v>
      </c>
      <c r="AB9" s="5">
        <f t="shared" si="0"/>
        <v>26911</v>
      </c>
      <c r="AD9" s="3" t="s">
        <v>69</v>
      </c>
      <c r="AE9" s="4">
        <v>10517</v>
      </c>
      <c r="AF9" s="4">
        <v>3189</v>
      </c>
      <c r="AG9" s="4">
        <v>1036</v>
      </c>
      <c r="AH9" s="49">
        <f t="shared" si="1"/>
        <v>14742</v>
      </c>
      <c r="AI9" s="46"/>
      <c r="AJ9" s="46"/>
      <c r="AK9" s="41"/>
    </row>
    <row r="10" spans="1:37" ht="15">
      <c r="A10" s="3" t="s">
        <v>5</v>
      </c>
      <c r="B10" s="4">
        <v>164</v>
      </c>
      <c r="C10" s="4">
        <v>432</v>
      </c>
      <c r="D10" s="4">
        <v>1103</v>
      </c>
      <c r="E10" s="4">
        <v>778</v>
      </c>
      <c r="F10" s="4">
        <v>241</v>
      </c>
      <c r="G10" s="4">
        <v>57</v>
      </c>
      <c r="H10" s="4">
        <v>38</v>
      </c>
      <c r="I10" s="4">
        <v>12</v>
      </c>
      <c r="J10" s="5">
        <v>2825</v>
      </c>
      <c r="L10" s="20" t="s">
        <v>38</v>
      </c>
      <c r="M10" s="4">
        <v>833</v>
      </c>
      <c r="N10" s="4">
        <v>240</v>
      </c>
      <c r="O10" s="4">
        <v>380</v>
      </c>
      <c r="P10" s="4">
        <v>372</v>
      </c>
      <c r="Q10" s="4">
        <v>146</v>
      </c>
      <c r="R10" s="4">
        <v>1138</v>
      </c>
      <c r="S10" s="5">
        <v>1971</v>
      </c>
      <c r="U10" s="21" t="s">
        <v>60</v>
      </c>
      <c r="V10" s="5">
        <f>V4+V5+V6+V7+V8+V9</f>
        <v>241942</v>
      </c>
      <c r="W10" s="5">
        <f aca="true" t="shared" si="2" ref="W10:AB10">W4+W5+W6+W7+W8+W9</f>
        <v>26096</v>
      </c>
      <c r="X10" s="5">
        <f t="shared" si="2"/>
        <v>18049</v>
      </c>
      <c r="Y10" s="5">
        <f t="shared" si="2"/>
        <v>6050</v>
      </c>
      <c r="Z10" s="5">
        <f t="shared" si="2"/>
        <v>843</v>
      </c>
      <c r="AA10" s="5">
        <f t="shared" si="2"/>
        <v>51038</v>
      </c>
      <c r="AB10" s="5">
        <f t="shared" si="2"/>
        <v>292980</v>
      </c>
      <c r="AD10" s="3" t="s">
        <v>70</v>
      </c>
      <c r="AE10" s="4">
        <v>12064</v>
      </c>
      <c r="AF10" s="4">
        <v>3689</v>
      </c>
      <c r="AG10" s="4">
        <v>369</v>
      </c>
      <c r="AH10" s="49">
        <f t="shared" si="1"/>
        <v>16122</v>
      </c>
      <c r="AI10" s="33"/>
      <c r="AJ10" s="33"/>
      <c r="AK10" s="33"/>
    </row>
    <row r="11" spans="1:37" ht="15">
      <c r="A11" s="3" t="s">
        <v>6</v>
      </c>
      <c r="B11" s="4">
        <v>136</v>
      </c>
      <c r="C11" s="4">
        <v>181</v>
      </c>
      <c r="D11" s="4">
        <v>377</v>
      </c>
      <c r="E11" s="4">
        <v>559</v>
      </c>
      <c r="F11" s="4">
        <v>193</v>
      </c>
      <c r="G11" s="4">
        <v>62</v>
      </c>
      <c r="H11" s="4">
        <v>33</v>
      </c>
      <c r="I11" s="4">
        <v>9</v>
      </c>
      <c r="J11" s="5">
        <v>1550</v>
      </c>
      <c r="L11" s="20" t="s">
        <v>39</v>
      </c>
      <c r="M11" s="4">
        <v>238</v>
      </c>
      <c r="N11" s="4">
        <v>70</v>
      </c>
      <c r="O11" s="4">
        <v>78</v>
      </c>
      <c r="P11" s="4">
        <v>120</v>
      </c>
      <c r="Q11" s="4">
        <v>85</v>
      </c>
      <c r="R11" s="4">
        <v>353</v>
      </c>
      <c r="S11" s="5">
        <v>591</v>
      </c>
      <c r="U11" s="8" t="s">
        <v>61</v>
      </c>
      <c r="AB11" s="10" t="s">
        <v>18</v>
      </c>
      <c r="AD11" s="3" t="s">
        <v>71</v>
      </c>
      <c r="AE11" s="4">
        <v>11712</v>
      </c>
      <c r="AF11" s="4">
        <v>3133</v>
      </c>
      <c r="AG11" s="4">
        <v>246</v>
      </c>
      <c r="AH11" s="49">
        <f t="shared" si="1"/>
        <v>15091</v>
      </c>
      <c r="AI11" s="33"/>
      <c r="AJ11" s="33"/>
      <c r="AK11" s="33"/>
    </row>
    <row r="12" spans="1:37" ht="15">
      <c r="A12" s="3" t="s">
        <v>7</v>
      </c>
      <c r="B12" s="4">
        <v>204</v>
      </c>
      <c r="C12" s="4">
        <v>241</v>
      </c>
      <c r="D12" s="4">
        <v>339</v>
      </c>
      <c r="E12" s="4">
        <v>365</v>
      </c>
      <c r="F12" s="4">
        <v>163</v>
      </c>
      <c r="G12" s="4">
        <v>71</v>
      </c>
      <c r="H12" s="4">
        <v>53</v>
      </c>
      <c r="I12" s="4">
        <v>9</v>
      </c>
      <c r="J12" s="5">
        <v>1445</v>
      </c>
      <c r="L12" s="21" t="s">
        <v>48</v>
      </c>
      <c r="M12" s="5">
        <v>241942</v>
      </c>
      <c r="N12" s="5">
        <v>26096</v>
      </c>
      <c r="O12" s="5">
        <v>18049</v>
      </c>
      <c r="P12" s="5">
        <v>6050</v>
      </c>
      <c r="Q12" s="5">
        <v>843</v>
      </c>
      <c r="R12" s="5">
        <v>51038</v>
      </c>
      <c r="S12" s="5">
        <v>292980</v>
      </c>
      <c r="AB12" s="10" t="s">
        <v>31</v>
      </c>
      <c r="AD12" s="3" t="s">
        <v>72</v>
      </c>
      <c r="AE12" s="4">
        <v>5233</v>
      </c>
      <c r="AF12" s="4">
        <v>1751</v>
      </c>
      <c r="AG12" s="4">
        <v>369</v>
      </c>
      <c r="AH12" s="49">
        <f t="shared" si="1"/>
        <v>7353</v>
      </c>
      <c r="AI12" s="33"/>
      <c r="AJ12" s="33"/>
      <c r="AK12" s="33"/>
    </row>
    <row r="13" spans="1:37" ht="15.75">
      <c r="A13" s="3" t="s">
        <v>8</v>
      </c>
      <c r="B13" s="4">
        <v>27</v>
      </c>
      <c r="C13" s="4">
        <v>46</v>
      </c>
      <c r="D13" s="4">
        <v>66</v>
      </c>
      <c r="E13" s="4">
        <v>121</v>
      </c>
      <c r="F13" s="4">
        <v>132</v>
      </c>
      <c r="G13" s="4">
        <v>86</v>
      </c>
      <c r="H13" s="4">
        <v>62</v>
      </c>
      <c r="I13" s="4">
        <v>9</v>
      </c>
      <c r="J13" s="5">
        <v>549</v>
      </c>
      <c r="L13" s="8" t="s">
        <v>49</v>
      </c>
      <c r="S13" s="10" t="s">
        <v>18</v>
      </c>
      <c r="U13" s="1" t="s">
        <v>62</v>
      </c>
      <c r="AD13" s="3" t="s">
        <v>73</v>
      </c>
      <c r="AE13" s="4">
        <v>13236</v>
      </c>
      <c r="AF13" s="4">
        <v>5093</v>
      </c>
      <c r="AG13" s="4">
        <v>1296</v>
      </c>
      <c r="AH13" s="49">
        <f t="shared" si="1"/>
        <v>19625</v>
      </c>
      <c r="AI13" s="41"/>
      <c r="AJ13" s="41"/>
      <c r="AK13" s="41"/>
    </row>
    <row r="14" spans="1:34" ht="15">
      <c r="A14" s="3" t="s">
        <v>9</v>
      </c>
      <c r="B14" s="4">
        <v>791</v>
      </c>
      <c r="C14" s="4">
        <v>659</v>
      </c>
      <c r="D14" s="4">
        <v>929</v>
      </c>
      <c r="E14" s="4">
        <v>1249</v>
      </c>
      <c r="F14" s="4">
        <v>665</v>
      </c>
      <c r="G14" s="4">
        <v>302</v>
      </c>
      <c r="H14" s="4">
        <v>110</v>
      </c>
      <c r="I14" s="4">
        <v>11</v>
      </c>
      <c r="J14" s="6">
        <v>4716</v>
      </c>
      <c r="S14" s="10" t="s">
        <v>31</v>
      </c>
      <c r="U14" s="22" t="s">
        <v>28</v>
      </c>
      <c r="V14" s="28"/>
      <c r="W14" s="232" t="s">
        <v>41</v>
      </c>
      <c r="X14" s="233"/>
      <c r="Y14" s="233"/>
      <c r="Z14" s="233"/>
      <c r="AA14" s="245"/>
      <c r="AB14" s="246" t="s">
        <v>48</v>
      </c>
      <c r="AD14" s="21" t="s">
        <v>60</v>
      </c>
      <c r="AE14" s="5">
        <f>AE5+AE6+AE7+AE8+AE9+AE10+AE11+AE12+AE13</f>
        <v>196753</v>
      </c>
      <c r="AF14" s="5">
        <f>AF5+AF6+AF7+AF8+AF9+AF10+AF11+AF12+AF13</f>
        <v>35171</v>
      </c>
      <c r="AG14" s="5">
        <f>AG5+AG6+AG7+AG8+AG9+AG10+AG11+AG12+AG13</f>
        <v>4094</v>
      </c>
      <c r="AH14" s="50">
        <f t="shared" si="1"/>
        <v>236018</v>
      </c>
    </row>
    <row r="15" spans="1:34" ht="14.25" customHeight="1">
      <c r="A15" s="3" t="s">
        <v>10</v>
      </c>
      <c r="B15" s="4">
        <v>84</v>
      </c>
      <c r="C15" s="4">
        <v>64</v>
      </c>
      <c r="D15" s="4">
        <v>125</v>
      </c>
      <c r="E15" s="4">
        <v>187</v>
      </c>
      <c r="F15" s="4">
        <v>106</v>
      </c>
      <c r="G15" s="4">
        <v>60</v>
      </c>
      <c r="H15" s="4">
        <v>27</v>
      </c>
      <c r="I15" s="4">
        <v>3</v>
      </c>
      <c r="J15" s="5">
        <v>656</v>
      </c>
      <c r="L15" s="1" t="s">
        <v>55</v>
      </c>
      <c r="U15" s="25"/>
      <c r="V15" s="29" t="s">
        <v>40</v>
      </c>
      <c r="W15" s="26" t="s">
        <v>42</v>
      </c>
      <c r="X15" s="19" t="s">
        <v>43</v>
      </c>
      <c r="Y15" s="19" t="s">
        <v>44</v>
      </c>
      <c r="Z15" s="19" t="s">
        <v>45</v>
      </c>
      <c r="AA15" s="19" t="s">
        <v>46</v>
      </c>
      <c r="AB15" s="247"/>
      <c r="AD15" s="8" t="s">
        <v>75</v>
      </c>
      <c r="AH15" s="10" t="s">
        <v>18</v>
      </c>
    </row>
    <row r="16" spans="1:34" ht="15">
      <c r="A16" s="3" t="s">
        <v>11</v>
      </c>
      <c r="B16" s="4">
        <v>53</v>
      </c>
      <c r="C16" s="4">
        <v>79</v>
      </c>
      <c r="D16" s="4">
        <v>195</v>
      </c>
      <c r="E16" s="4">
        <v>232</v>
      </c>
      <c r="F16" s="4">
        <v>446</v>
      </c>
      <c r="G16" s="4">
        <v>240</v>
      </c>
      <c r="H16" s="4">
        <v>159</v>
      </c>
      <c r="I16" s="4">
        <v>55</v>
      </c>
      <c r="J16" s="5">
        <v>1459</v>
      </c>
      <c r="L16" s="230" t="s">
        <v>32</v>
      </c>
      <c r="M16" s="28"/>
      <c r="N16" s="232" t="s">
        <v>41</v>
      </c>
      <c r="O16" s="233"/>
      <c r="P16" s="233"/>
      <c r="Q16" s="233"/>
      <c r="R16" s="245"/>
      <c r="S16" s="246" t="s">
        <v>48</v>
      </c>
      <c r="U16" s="20" t="s">
        <v>58</v>
      </c>
      <c r="V16" s="43">
        <f>(V4/V10)*100</f>
        <v>13.296575212240949</v>
      </c>
      <c r="W16" s="43">
        <f aca="true" t="shared" si="3" ref="W16:AB16">(W4/W10)*100</f>
        <v>11.469190680564072</v>
      </c>
      <c r="X16" s="43">
        <f t="shared" si="3"/>
        <v>6.848024821319741</v>
      </c>
      <c r="Y16" s="43">
        <f t="shared" si="3"/>
        <v>7.43801652892562</v>
      </c>
      <c r="Z16" s="43">
        <f t="shared" si="3"/>
        <v>16.844602609727165</v>
      </c>
      <c r="AA16" s="43">
        <f t="shared" si="3"/>
        <v>9.445903052627454</v>
      </c>
      <c r="AB16" s="44">
        <f t="shared" si="3"/>
        <v>12.625776503515599</v>
      </c>
      <c r="AH16" s="10" t="s">
        <v>31</v>
      </c>
    </row>
    <row r="17" spans="1:30" ht="15.75">
      <c r="A17" s="3" t="s">
        <v>12</v>
      </c>
      <c r="B17" s="4">
        <v>184</v>
      </c>
      <c r="C17" s="4">
        <v>122</v>
      </c>
      <c r="D17" s="4">
        <v>224</v>
      </c>
      <c r="E17" s="4">
        <v>391</v>
      </c>
      <c r="F17" s="4">
        <v>189</v>
      </c>
      <c r="G17" s="4">
        <v>29</v>
      </c>
      <c r="H17" s="4">
        <v>25</v>
      </c>
      <c r="I17" s="4">
        <v>2</v>
      </c>
      <c r="J17" s="5">
        <v>1166</v>
      </c>
      <c r="L17" s="249"/>
      <c r="M17" s="29" t="s">
        <v>40</v>
      </c>
      <c r="N17" s="26" t="s">
        <v>42</v>
      </c>
      <c r="O17" s="19" t="s">
        <v>43</v>
      </c>
      <c r="P17" s="19" t="s">
        <v>44</v>
      </c>
      <c r="Q17" s="19" t="s">
        <v>45</v>
      </c>
      <c r="R17" s="19" t="s">
        <v>46</v>
      </c>
      <c r="S17" s="247"/>
      <c r="U17" s="20" t="s">
        <v>22</v>
      </c>
      <c r="V17" s="43">
        <f>(V5/V10)*100</f>
        <v>11.65940597333245</v>
      </c>
      <c r="W17" s="43">
        <f aca="true" t="shared" si="4" ref="W17:AB17">(W5/W10)*100</f>
        <v>12.358215818516248</v>
      </c>
      <c r="X17" s="43">
        <f t="shared" si="4"/>
        <v>10.90919164496648</v>
      </c>
      <c r="Y17" s="43">
        <f t="shared" si="4"/>
        <v>6.958677685950414</v>
      </c>
      <c r="Z17" s="43">
        <f t="shared" si="4"/>
        <v>4.389086595492289</v>
      </c>
      <c r="AA17" s="43">
        <f t="shared" si="4"/>
        <v>11.074101649751166</v>
      </c>
      <c r="AB17" s="44">
        <f t="shared" si="4"/>
        <v>11.557444194142946</v>
      </c>
      <c r="AD17" s="1" t="s">
        <v>78</v>
      </c>
    </row>
    <row r="18" spans="1:34" ht="15">
      <c r="A18" s="3" t="s">
        <v>13</v>
      </c>
      <c r="B18" s="4">
        <v>69</v>
      </c>
      <c r="C18" s="4">
        <v>108</v>
      </c>
      <c r="D18" s="4">
        <v>291</v>
      </c>
      <c r="E18" s="4">
        <v>217</v>
      </c>
      <c r="F18" s="4">
        <v>119</v>
      </c>
      <c r="G18" s="4">
        <v>65</v>
      </c>
      <c r="H18" s="4">
        <v>32</v>
      </c>
      <c r="I18" s="4">
        <v>6</v>
      </c>
      <c r="J18" s="5">
        <v>907</v>
      </c>
      <c r="L18" s="20" t="s">
        <v>33</v>
      </c>
      <c r="M18" s="40">
        <f>(M4/M12)*100</f>
        <v>75.23704028238173</v>
      </c>
      <c r="N18" s="40">
        <f aca="true" t="shared" si="5" ref="N18:S18">(N4/N12)*100</f>
        <v>7.238657265481299</v>
      </c>
      <c r="O18" s="40">
        <f t="shared" si="5"/>
        <v>3.5015790348495766</v>
      </c>
      <c r="P18" s="40">
        <f t="shared" si="5"/>
        <v>4.528925619834711</v>
      </c>
      <c r="Q18" s="40">
        <f t="shared" si="5"/>
        <v>15.895610913404507</v>
      </c>
      <c r="R18" s="40">
        <f t="shared" si="5"/>
        <v>5.738861240644226</v>
      </c>
      <c r="S18" s="40">
        <f t="shared" si="5"/>
        <v>63.13024779848454</v>
      </c>
      <c r="U18" s="20" t="s">
        <v>23</v>
      </c>
      <c r="V18" s="43">
        <f>(V6/V10)*100</f>
        <v>29.547164196377647</v>
      </c>
      <c r="W18" s="43">
        <f aca="true" t="shared" si="6" ref="W18:AB18">(W6/W10)*100</f>
        <v>37.64561618638872</v>
      </c>
      <c r="X18" s="43">
        <f t="shared" si="6"/>
        <v>34.422959720760154</v>
      </c>
      <c r="Y18" s="43">
        <f t="shared" si="6"/>
        <v>22.31404958677686</v>
      </c>
      <c r="Z18" s="43">
        <f t="shared" si="6"/>
        <v>9.845788849347569</v>
      </c>
      <c r="AA18" s="43">
        <f t="shared" si="6"/>
        <v>34.22939770367178</v>
      </c>
      <c r="AB18" s="44">
        <f t="shared" si="6"/>
        <v>30.362823400914742</v>
      </c>
      <c r="AD18" s="22" t="s">
        <v>64</v>
      </c>
      <c r="AE18" s="47"/>
      <c r="AF18" s="232" t="s">
        <v>41</v>
      </c>
      <c r="AG18" s="233"/>
      <c r="AH18" s="23"/>
    </row>
    <row r="19" spans="1:34" ht="15">
      <c r="A19" s="3" t="s">
        <v>14</v>
      </c>
      <c r="B19" s="4">
        <v>32</v>
      </c>
      <c r="C19" s="4">
        <v>172</v>
      </c>
      <c r="D19" s="4">
        <v>350</v>
      </c>
      <c r="E19" s="4">
        <v>294</v>
      </c>
      <c r="F19" s="4">
        <v>206</v>
      </c>
      <c r="G19" s="4">
        <v>66</v>
      </c>
      <c r="H19" s="4">
        <v>50</v>
      </c>
      <c r="I19" s="4">
        <v>11</v>
      </c>
      <c r="J19" s="5">
        <v>1181</v>
      </c>
      <c r="L19" s="20" t="s">
        <v>47</v>
      </c>
      <c r="M19" s="13">
        <f>(M5/M12)*100</f>
        <v>24.762959717618273</v>
      </c>
      <c r="N19" s="13">
        <f aca="true" t="shared" si="7" ref="N19:S19">(N5/N12)*100</f>
        <v>92.7613427345187</v>
      </c>
      <c r="O19" s="13">
        <f t="shared" si="7"/>
        <v>96.49842096515042</v>
      </c>
      <c r="P19" s="13">
        <f t="shared" si="7"/>
        <v>95.47107438016529</v>
      </c>
      <c r="Q19" s="13">
        <f t="shared" si="7"/>
        <v>84.10438908659549</v>
      </c>
      <c r="R19" s="13">
        <f t="shared" si="7"/>
        <v>94.26113875935577</v>
      </c>
      <c r="S19" s="13">
        <f t="shared" si="7"/>
        <v>36.86975220151546</v>
      </c>
      <c r="U19" s="20" t="s">
        <v>24</v>
      </c>
      <c r="V19" s="43">
        <f>(V7/V10)*100</f>
        <v>23.019153350803084</v>
      </c>
      <c r="W19" s="43">
        <f aca="true" t="shared" si="8" ref="W19:AB19">(W7/W10)*100</f>
        <v>26.682250153280197</v>
      </c>
      <c r="X19" s="43">
        <f t="shared" si="8"/>
        <v>29.791124162003435</v>
      </c>
      <c r="Y19" s="43">
        <f t="shared" si="8"/>
        <v>32.611570247933884</v>
      </c>
      <c r="Z19" s="43">
        <f t="shared" si="8"/>
        <v>18.62396204033215</v>
      </c>
      <c r="AA19" s="43">
        <f t="shared" si="8"/>
        <v>28.35142442885693</v>
      </c>
      <c r="AB19" s="44">
        <f t="shared" si="8"/>
        <v>23.948051061505904</v>
      </c>
      <c r="AD19" s="24"/>
      <c r="AE19" s="237" t="s">
        <v>40</v>
      </c>
      <c r="AF19" s="239" t="s">
        <v>76</v>
      </c>
      <c r="AG19" s="241" t="s">
        <v>77</v>
      </c>
      <c r="AH19" s="228" t="s">
        <v>20</v>
      </c>
    </row>
    <row r="20" spans="1:34" ht="15">
      <c r="A20" s="3" t="s">
        <v>15</v>
      </c>
      <c r="B20" s="4">
        <v>190</v>
      </c>
      <c r="C20" s="4">
        <v>275</v>
      </c>
      <c r="D20" s="4">
        <v>699</v>
      </c>
      <c r="E20" s="4">
        <v>1152</v>
      </c>
      <c r="F20" s="4">
        <v>474</v>
      </c>
      <c r="G20" s="4">
        <v>113</v>
      </c>
      <c r="H20" s="4">
        <v>22</v>
      </c>
      <c r="I20" s="4">
        <v>9</v>
      </c>
      <c r="J20" s="5">
        <v>2934</v>
      </c>
      <c r="L20" s="20" t="s">
        <v>34</v>
      </c>
      <c r="M20" s="13">
        <f>(M6/M12)*100</f>
        <v>6.866935050549305</v>
      </c>
      <c r="N20" s="13">
        <f aca="true" t="shared" si="9" ref="N20:S20">(N6/N12)*100</f>
        <v>15.561771919068057</v>
      </c>
      <c r="O20" s="13">
        <f t="shared" si="9"/>
        <v>8.427059670895895</v>
      </c>
      <c r="P20" s="13">
        <f t="shared" si="9"/>
        <v>6.859504132231405</v>
      </c>
      <c r="Q20" s="13">
        <f t="shared" si="9"/>
        <v>9.9644128113879</v>
      </c>
      <c r="R20" s="13">
        <f t="shared" si="9"/>
        <v>11.914651828049688</v>
      </c>
      <c r="S20" s="13">
        <f t="shared" si="9"/>
        <v>7.746262543518329</v>
      </c>
      <c r="U20" s="20" t="s">
        <v>25</v>
      </c>
      <c r="V20" s="43">
        <f>(V8/V10)*100</f>
        <v>12.758016384092056</v>
      </c>
      <c r="W20" s="43">
        <f aca="true" t="shared" si="10" ref="W20:AB20">(W8/W10)*100</f>
        <v>7.683169834457389</v>
      </c>
      <c r="X20" s="43">
        <f t="shared" si="10"/>
        <v>11.236079561194526</v>
      </c>
      <c r="Y20" s="43">
        <f t="shared" si="10"/>
        <v>17.33884297520661</v>
      </c>
      <c r="Z20" s="43">
        <f t="shared" si="10"/>
        <v>17.556346381969156</v>
      </c>
      <c r="AA20" s="43">
        <f t="shared" si="10"/>
        <v>10.247266742427211</v>
      </c>
      <c r="AB20" s="44">
        <f t="shared" si="10"/>
        <v>12.32063622090245</v>
      </c>
      <c r="AD20" s="48"/>
      <c r="AE20" s="238"/>
      <c r="AF20" s="240"/>
      <c r="AG20" s="242"/>
      <c r="AH20" s="229"/>
    </row>
    <row r="21" spans="1:34" ht="15">
      <c r="A21" s="3" t="s">
        <v>16</v>
      </c>
      <c r="B21" s="4">
        <v>802</v>
      </c>
      <c r="C21" s="4">
        <v>507</v>
      </c>
      <c r="D21" s="4">
        <v>910</v>
      </c>
      <c r="E21" s="4">
        <v>1328</v>
      </c>
      <c r="F21" s="4">
        <v>501</v>
      </c>
      <c r="G21" s="4">
        <v>211</v>
      </c>
      <c r="H21" s="4">
        <v>88</v>
      </c>
      <c r="I21" s="4">
        <v>15</v>
      </c>
      <c r="J21" s="6">
        <v>4362</v>
      </c>
      <c r="L21" s="20" t="s">
        <v>35</v>
      </c>
      <c r="M21" s="13">
        <f>(M7/M12)*100</f>
        <v>8.12963437518083</v>
      </c>
      <c r="N21" s="13">
        <f aca="true" t="shared" si="11" ref="N21:S21">(N7/N12)*100</f>
        <v>34.71030042918455</v>
      </c>
      <c r="O21" s="13">
        <f t="shared" si="11"/>
        <v>34.389716881821705</v>
      </c>
      <c r="P21" s="13">
        <f t="shared" si="11"/>
        <v>21.47107438016529</v>
      </c>
      <c r="Q21" s="13">
        <f t="shared" si="11"/>
        <v>7.236061684460261</v>
      </c>
      <c r="R21" s="13">
        <f t="shared" si="11"/>
        <v>32.57376856459893</v>
      </c>
      <c r="S21" s="13">
        <f t="shared" si="11"/>
        <v>12.387876305549867</v>
      </c>
      <c r="U21" s="20" t="s">
        <v>59</v>
      </c>
      <c r="V21" s="43">
        <f>(V9/V10)*100</f>
        <v>9.719684883153814</v>
      </c>
      <c r="W21" s="43">
        <f aca="true" t="shared" si="12" ref="W21:AB21">(W9/W10)*100</f>
        <v>4.161557326793378</v>
      </c>
      <c r="X21" s="43">
        <f t="shared" si="12"/>
        <v>6.792620089755665</v>
      </c>
      <c r="Y21" s="43">
        <f t="shared" si="12"/>
        <v>13.33884297520661</v>
      </c>
      <c r="Z21" s="43">
        <f t="shared" si="12"/>
        <v>32.74021352313167</v>
      </c>
      <c r="AA21" s="43">
        <f t="shared" si="12"/>
        <v>6.651906422665466</v>
      </c>
      <c r="AB21" s="44">
        <f t="shared" si="12"/>
        <v>9.185268619018364</v>
      </c>
      <c r="AD21" s="3" t="s">
        <v>65</v>
      </c>
      <c r="AE21" s="11">
        <f>(AE5/AE14)*100</f>
        <v>13.34261739338155</v>
      </c>
      <c r="AF21" s="11">
        <f>(AF5/AF14)*100</f>
        <v>10.605328253390578</v>
      </c>
      <c r="AG21" s="11">
        <f>(AG5/AG14)*100</f>
        <v>4.616511968734733</v>
      </c>
      <c r="AH21" s="31">
        <f>(AH5/AH14)*100</f>
        <v>12.783347032853426</v>
      </c>
    </row>
    <row r="22" spans="1:34" ht="15">
      <c r="A22" s="3" t="s">
        <v>17</v>
      </c>
      <c r="B22" s="4">
        <v>32</v>
      </c>
      <c r="C22" s="4">
        <v>24</v>
      </c>
      <c r="D22" s="4">
        <v>75</v>
      </c>
      <c r="E22" s="4">
        <v>88</v>
      </c>
      <c r="F22" s="4">
        <v>62</v>
      </c>
      <c r="G22" s="4">
        <v>28</v>
      </c>
      <c r="H22" s="4">
        <v>9</v>
      </c>
      <c r="I22" s="4">
        <v>3</v>
      </c>
      <c r="J22" s="5">
        <v>321</v>
      </c>
      <c r="L22" s="20" t="s">
        <v>36</v>
      </c>
      <c r="M22" s="13">
        <f>(M8/M12)*100</f>
        <v>7.680353142488696</v>
      </c>
      <c r="N22" s="13">
        <f aca="true" t="shared" si="13" ref="N22:S22">(N8/N12)*100</f>
        <v>33.545370938074804</v>
      </c>
      <c r="O22" s="13">
        <f t="shared" si="13"/>
        <v>37.45359853731509</v>
      </c>
      <c r="P22" s="13">
        <f t="shared" si="13"/>
        <v>33.289256198347104</v>
      </c>
      <c r="Q22" s="13">
        <f t="shared" si="13"/>
        <v>14.94661921708185</v>
      </c>
      <c r="R22" s="13">
        <f t="shared" si="13"/>
        <v>34.589913397860414</v>
      </c>
      <c r="S22" s="13">
        <f t="shared" si="13"/>
        <v>12.368079732404942</v>
      </c>
      <c r="U22" s="21" t="s">
        <v>60</v>
      </c>
      <c r="V22" s="12">
        <f>V16+V17+V18+V19+V21+V20</f>
        <v>100</v>
      </c>
      <c r="W22" s="12">
        <f aca="true" t="shared" si="14" ref="W22:AB22">W16+W17+W18+W19+W21+W20</f>
        <v>100.00000000000001</v>
      </c>
      <c r="X22" s="12">
        <f t="shared" si="14"/>
        <v>100</v>
      </c>
      <c r="Y22" s="12">
        <f t="shared" si="14"/>
        <v>100</v>
      </c>
      <c r="Z22" s="12">
        <f t="shared" si="14"/>
        <v>100</v>
      </c>
      <c r="AA22" s="12">
        <f t="shared" si="14"/>
        <v>100.00000000000001</v>
      </c>
      <c r="AB22" s="12">
        <f t="shared" si="14"/>
        <v>100</v>
      </c>
      <c r="AD22" s="3" t="s">
        <v>66</v>
      </c>
      <c r="AE22" s="11">
        <f>(AE6/AE14)*100</f>
        <v>27.434905693941136</v>
      </c>
      <c r="AF22" s="11">
        <f>(AF6/AF14)*100</f>
        <v>17.955133490659918</v>
      </c>
      <c r="AG22" s="11">
        <f>(AG6/AG14)*100</f>
        <v>6.130923302393747</v>
      </c>
      <c r="AH22" s="12">
        <f>(AH6/AH14)*100</f>
        <v>25.652704454744978</v>
      </c>
    </row>
    <row r="23" spans="1:34" ht="15">
      <c r="A23" s="7" t="s">
        <v>20</v>
      </c>
      <c r="B23" s="5">
        <v>36991</v>
      </c>
      <c r="C23" s="5">
        <v>33861</v>
      </c>
      <c r="D23" s="5">
        <v>88957</v>
      </c>
      <c r="E23" s="5">
        <v>70163</v>
      </c>
      <c r="F23" s="5">
        <v>36097</v>
      </c>
      <c r="G23" s="5">
        <v>14455</v>
      </c>
      <c r="H23" s="5">
        <v>8763</v>
      </c>
      <c r="I23" s="5">
        <v>3693</v>
      </c>
      <c r="J23" s="5">
        <v>292980</v>
      </c>
      <c r="L23" s="20" t="s">
        <v>37</v>
      </c>
      <c r="M23" s="13">
        <f>(M9/M12)*100</f>
        <v>1.6433690719263296</v>
      </c>
      <c r="N23" s="13">
        <f aca="true" t="shared" si="15" ref="N23:S23">(N9/N12)*100</f>
        <v>7.755977927651747</v>
      </c>
      <c r="O23" s="13">
        <f t="shared" si="15"/>
        <v>13.690509169483073</v>
      </c>
      <c r="P23" s="13">
        <f t="shared" si="15"/>
        <v>25.71900826446281</v>
      </c>
      <c r="Q23" s="13">
        <f t="shared" si="15"/>
        <v>24.555160142348754</v>
      </c>
      <c r="R23" s="13">
        <f t="shared" si="15"/>
        <v>12.261452251263764</v>
      </c>
      <c r="S23" s="13">
        <f t="shared" si="15"/>
        <v>3.4930711993992767</v>
      </c>
      <c r="U23" s="8" t="s">
        <v>61</v>
      </c>
      <c r="AB23" s="10" t="s">
        <v>18</v>
      </c>
      <c r="AD23" s="3" t="s">
        <v>67</v>
      </c>
      <c r="AE23" s="11">
        <f>(AE7/AE14)*100</f>
        <v>20.655339435739226</v>
      </c>
      <c r="AF23" s="11">
        <f>(AF7/AF14)*100</f>
        <v>13.852321514884421</v>
      </c>
      <c r="AG23" s="11">
        <f>(AG7/AG14)*100</f>
        <v>4.07914020517831</v>
      </c>
      <c r="AH23" s="12">
        <f>(AH7/AH14)*100</f>
        <v>19.354032319568844</v>
      </c>
    </row>
    <row r="24" spans="1:34" ht="15">
      <c r="A24" s="8" t="s">
        <v>19</v>
      </c>
      <c r="B24" s="8"/>
      <c r="D24" s="9"/>
      <c r="E24" s="9"/>
      <c r="F24" s="9"/>
      <c r="G24" s="9"/>
      <c r="H24" s="9"/>
      <c r="I24" s="9"/>
      <c r="J24" s="10" t="s">
        <v>18</v>
      </c>
      <c r="L24" s="20" t="s">
        <v>38</v>
      </c>
      <c r="M24" s="13">
        <f>(M10/M12)*100</f>
        <v>0.3442973935901993</v>
      </c>
      <c r="N24" s="13">
        <f aca="true" t="shared" si="16" ref="N24:S24">(N10/N12)*100</f>
        <v>0.9196811771919068</v>
      </c>
      <c r="O24" s="13">
        <f t="shared" si="16"/>
        <v>2.1053797994348717</v>
      </c>
      <c r="P24" s="13">
        <f t="shared" si="16"/>
        <v>6.148760330578512</v>
      </c>
      <c r="Q24" s="13">
        <f t="shared" si="16"/>
        <v>17.319098457888494</v>
      </c>
      <c r="R24" s="13">
        <f t="shared" si="16"/>
        <v>2.229711195579764</v>
      </c>
      <c r="S24" s="13">
        <f t="shared" si="16"/>
        <v>0.6727421667007987</v>
      </c>
      <c r="AB24" s="10" t="s">
        <v>31</v>
      </c>
      <c r="AD24" s="3" t="s">
        <v>68</v>
      </c>
      <c r="AE24" s="11">
        <f>(AE8/AE14)*100</f>
        <v>11.750773812851646</v>
      </c>
      <c r="AF24" s="11">
        <f>(AF8/AF14)*100</f>
        <v>9.664211992835007</v>
      </c>
      <c r="AG24" s="11">
        <f>(AG8/AG14)*100</f>
        <v>4.176844162188568</v>
      </c>
      <c r="AH24" s="12">
        <f>(AH8/AH14)*100</f>
        <v>11.308459524273573</v>
      </c>
    </row>
    <row r="25" spans="4:34" ht="15.75">
      <c r="D25" s="9"/>
      <c r="E25" s="9"/>
      <c r="F25" s="9"/>
      <c r="G25" s="9"/>
      <c r="H25" s="9"/>
      <c r="I25" s="9"/>
      <c r="J25" s="10" t="s">
        <v>31</v>
      </c>
      <c r="L25" s="20" t="s">
        <v>39</v>
      </c>
      <c r="M25" s="13">
        <f>(M11/M12)*100</f>
        <v>0.09837068388291409</v>
      </c>
      <c r="N25" s="13">
        <f aca="true" t="shared" si="17" ref="N25:S25">(N11/N12)*100</f>
        <v>0.26824034334763946</v>
      </c>
      <c r="O25" s="13">
        <f t="shared" si="17"/>
        <v>0.43215690619978947</v>
      </c>
      <c r="P25" s="13">
        <f t="shared" si="17"/>
        <v>1.9834710743801653</v>
      </c>
      <c r="Q25" s="13">
        <f t="shared" si="17"/>
        <v>10.083036773428232</v>
      </c>
      <c r="R25" s="13">
        <f t="shared" si="17"/>
        <v>0.6916415220032133</v>
      </c>
      <c r="S25" s="13">
        <f t="shared" si="17"/>
        <v>0.20172025394224863</v>
      </c>
      <c r="U25" s="1" t="s">
        <v>63</v>
      </c>
      <c r="AD25" s="3" t="s">
        <v>69</v>
      </c>
      <c r="AE25" s="11">
        <f>(AE9/AE14)*100</f>
        <v>5.345280631045016</v>
      </c>
      <c r="AF25" s="11">
        <f>(AF9/AF14)*100</f>
        <v>9.067129168917575</v>
      </c>
      <c r="AG25" s="11">
        <f>(AG9/AG14)*100</f>
        <v>25.30532486565706</v>
      </c>
      <c r="AH25" s="12">
        <f>(AH9/AH14)*100</f>
        <v>6.246133769458262</v>
      </c>
    </row>
    <row r="26" spans="12:34" ht="15" customHeight="1">
      <c r="L26" s="21" t="s">
        <v>48</v>
      </c>
      <c r="M26" s="14">
        <f>M18+M20+M21+M22+M23+M24+M25</f>
        <v>100</v>
      </c>
      <c r="N26" s="14">
        <f aca="true" t="shared" si="18" ref="N26:S26">N18+N20+N21+N22+N23+N24+N25</f>
        <v>100</v>
      </c>
      <c r="O26" s="14">
        <f t="shared" si="18"/>
        <v>100</v>
      </c>
      <c r="P26" s="14">
        <f t="shared" si="18"/>
        <v>100</v>
      </c>
      <c r="Q26" s="14">
        <f t="shared" si="18"/>
        <v>100</v>
      </c>
      <c r="R26" s="14">
        <f t="shared" si="18"/>
        <v>100</v>
      </c>
      <c r="S26" s="14">
        <f t="shared" si="18"/>
        <v>100.00000000000001</v>
      </c>
      <c r="U26" s="230" t="s">
        <v>64</v>
      </c>
      <c r="V26" s="28"/>
      <c r="W26" s="232" t="s">
        <v>41</v>
      </c>
      <c r="X26" s="250"/>
      <c r="Y26" s="250"/>
      <c r="Z26" s="250"/>
      <c r="AA26" s="251"/>
      <c r="AB26" s="246" t="s">
        <v>48</v>
      </c>
      <c r="AD26" s="3" t="s">
        <v>70</v>
      </c>
      <c r="AE26" s="11">
        <f>(AE10/AE14)*100</f>
        <v>6.131545643522589</v>
      </c>
      <c r="AF26" s="11">
        <f>(AF10/AF14)*100</f>
        <v>10.488754940149555</v>
      </c>
      <c r="AG26" s="11">
        <f>(AG10/AG14)*100</f>
        <v>9.013190034196384</v>
      </c>
      <c r="AH26" s="12">
        <f>(AH10/AH14)*100</f>
        <v>6.830834936318417</v>
      </c>
    </row>
    <row r="27" spans="1:34" ht="15" customHeight="1">
      <c r="A27" s="1" t="s">
        <v>51</v>
      </c>
      <c r="L27" s="8" t="s">
        <v>49</v>
      </c>
      <c r="S27" s="10" t="s">
        <v>18</v>
      </c>
      <c r="U27" s="249"/>
      <c r="V27" s="29" t="s">
        <v>40</v>
      </c>
      <c r="W27" s="26" t="s">
        <v>42</v>
      </c>
      <c r="X27" s="19" t="s">
        <v>43</v>
      </c>
      <c r="Y27" s="19" t="s">
        <v>44</v>
      </c>
      <c r="Z27" s="19" t="s">
        <v>45</v>
      </c>
      <c r="AA27" s="19" t="s">
        <v>46</v>
      </c>
      <c r="AB27" s="252"/>
      <c r="AD27" s="3" t="s">
        <v>71</v>
      </c>
      <c r="AE27" s="11">
        <f>(AE11/AE14)*100</f>
        <v>5.9526411287248475</v>
      </c>
      <c r="AF27" s="11">
        <f>(AF11/AF14)*100</f>
        <v>8.907907082539593</v>
      </c>
      <c r="AG27" s="11">
        <f>(AG11/AG14)*100</f>
        <v>6.008793356130923</v>
      </c>
      <c r="AH27" s="12">
        <f>(AH11/AH14)*100</f>
        <v>6.3940038471642</v>
      </c>
    </row>
    <row r="28" spans="1:34" ht="15">
      <c r="A28" s="254" t="s">
        <v>53</v>
      </c>
      <c r="B28" s="256" t="s">
        <v>28</v>
      </c>
      <c r="C28" s="256"/>
      <c r="D28" s="256"/>
      <c r="E28" s="256"/>
      <c r="F28" s="256"/>
      <c r="G28" s="256"/>
      <c r="H28" s="256"/>
      <c r="I28" s="256"/>
      <c r="J28" s="256"/>
      <c r="S28" s="10" t="s">
        <v>31</v>
      </c>
      <c r="U28" s="20" t="s">
        <v>58</v>
      </c>
      <c r="V28" s="43">
        <f aca="true" t="shared" si="19" ref="V28:V34">(V4/AB4)*100</f>
        <v>86.96710010543104</v>
      </c>
      <c r="W28" s="43">
        <f aca="true" t="shared" si="20" ref="W28:W34">(W4/AB4)*100</f>
        <v>8.091157308534507</v>
      </c>
      <c r="X28" s="43">
        <f aca="true" t="shared" si="21" ref="X28:X34">(X4/AB4)*100</f>
        <v>3.341353302154578</v>
      </c>
      <c r="Y28" s="43">
        <f aca="true" t="shared" si="22" ref="Y28:Y34">(Y4/AB4)*100</f>
        <v>1.2165121245708417</v>
      </c>
      <c r="Z28" s="43">
        <f aca="true" t="shared" si="23" ref="Z28:Z34">(Z4/AB4)*100</f>
        <v>0.3838771593090211</v>
      </c>
      <c r="AA28" s="43">
        <f aca="true" t="shared" si="24" ref="AA28:AA34">(AA4/AB4)*100</f>
        <v>13.03289989456895</v>
      </c>
      <c r="AB28" s="12">
        <f>SUM(V28:Z28)</f>
        <v>99.99999999999999</v>
      </c>
      <c r="AD28" s="3" t="s">
        <v>72</v>
      </c>
      <c r="AE28" s="11">
        <f>(AE12/AE14)*100</f>
        <v>2.6596799032289216</v>
      </c>
      <c r="AF28" s="11">
        <f>(AF12/AF14)*100</f>
        <v>4.978533450854397</v>
      </c>
      <c r="AG28" s="11">
        <f>(AG12/AG14)*100</f>
        <v>9.013190034196384</v>
      </c>
      <c r="AH28" s="12">
        <f>(AH12/AH14)*100</f>
        <v>3.115440347770085</v>
      </c>
    </row>
    <row r="29" spans="1:34" ht="15.75">
      <c r="A29" s="255"/>
      <c r="B29" s="2" t="s">
        <v>21</v>
      </c>
      <c r="C29" s="2" t="s">
        <v>22</v>
      </c>
      <c r="D29" s="2" t="s">
        <v>23</v>
      </c>
      <c r="E29" s="2" t="s">
        <v>24</v>
      </c>
      <c r="F29" s="2" t="s">
        <v>25</v>
      </c>
      <c r="G29" s="2" t="s">
        <v>26</v>
      </c>
      <c r="H29" s="2" t="s">
        <v>27</v>
      </c>
      <c r="I29" s="2" t="s">
        <v>29</v>
      </c>
      <c r="J29" s="2" t="s">
        <v>20</v>
      </c>
      <c r="L29" s="1" t="s">
        <v>56</v>
      </c>
      <c r="U29" s="20" t="s">
        <v>22</v>
      </c>
      <c r="V29" s="43">
        <f t="shared" si="19"/>
        <v>83.30823070789404</v>
      </c>
      <c r="W29" s="43">
        <f t="shared" si="20"/>
        <v>9.524231416674048</v>
      </c>
      <c r="X29" s="43">
        <f t="shared" si="21"/>
        <v>5.814949351761613</v>
      </c>
      <c r="Y29" s="43">
        <f t="shared" si="22"/>
        <v>1.2433182717580697</v>
      </c>
      <c r="Z29" s="43">
        <f t="shared" si="23"/>
        <v>0.1092702519122294</v>
      </c>
      <c r="AA29" s="43">
        <f t="shared" si="24"/>
        <v>16.691769292105963</v>
      </c>
      <c r="AB29" s="12">
        <f aca="true" t="shared" si="25" ref="AB29:AB34">SUM(V29:Z29)</f>
        <v>100</v>
      </c>
      <c r="AD29" s="3" t="s">
        <v>73</v>
      </c>
      <c r="AE29" s="11">
        <f>(AE13/AE14)*100</f>
        <v>6.727216357565069</v>
      </c>
      <c r="AF29" s="11">
        <f>(AF13/AF14)*100</f>
        <v>14.480680105768956</v>
      </c>
      <c r="AG29" s="11">
        <f>(AG13/AG14)*100</f>
        <v>31.656082071323887</v>
      </c>
      <c r="AH29" s="12">
        <f>(AH13/AH14)*100</f>
        <v>8.315043767848215</v>
      </c>
    </row>
    <row r="30" spans="1:34" ht="15">
      <c r="A30" s="3" t="s">
        <v>30</v>
      </c>
      <c r="B30" s="13">
        <v>86.96710010543104</v>
      </c>
      <c r="C30" s="13">
        <v>83.30823070789404</v>
      </c>
      <c r="D30" s="13">
        <v>80.36129815528851</v>
      </c>
      <c r="E30" s="13">
        <v>79.37659450137537</v>
      </c>
      <c r="F30" s="13">
        <v>85.5112613236557</v>
      </c>
      <c r="G30" s="13">
        <v>86.0878588723625</v>
      </c>
      <c r="H30" s="13">
        <v>87.56133744151546</v>
      </c>
      <c r="I30" s="13">
        <v>92.03899268887083</v>
      </c>
      <c r="J30" s="14">
        <v>82.57969827291966</v>
      </c>
      <c r="L30" s="22" t="s">
        <v>32</v>
      </c>
      <c r="M30" s="28"/>
      <c r="N30" s="232" t="s">
        <v>41</v>
      </c>
      <c r="O30" s="250"/>
      <c r="P30" s="250"/>
      <c r="Q30" s="250"/>
      <c r="R30" s="251"/>
      <c r="S30" s="246" t="s">
        <v>48</v>
      </c>
      <c r="U30" s="20" t="s">
        <v>23</v>
      </c>
      <c r="V30" s="43">
        <f t="shared" si="19"/>
        <v>80.36129815528851</v>
      </c>
      <c r="W30" s="43">
        <f t="shared" si="20"/>
        <v>11.043537889092484</v>
      </c>
      <c r="X30" s="43">
        <f t="shared" si="21"/>
        <v>6.984273300583428</v>
      </c>
      <c r="Y30" s="43">
        <f t="shared" si="22"/>
        <v>1.5175871488471957</v>
      </c>
      <c r="Z30" s="43">
        <f t="shared" si="23"/>
        <v>0.09330350618838315</v>
      </c>
      <c r="AA30" s="43">
        <f t="shared" si="24"/>
        <v>19.63870184471149</v>
      </c>
      <c r="AB30" s="12">
        <f t="shared" si="25"/>
        <v>100</v>
      </c>
      <c r="AD30" s="21" t="s">
        <v>60</v>
      </c>
      <c r="AE30" s="12">
        <f>AE21+AE22+AE23+AE24+AE25+AE26+AE27+AE28+AE29</f>
        <v>100</v>
      </c>
      <c r="AF30" s="12">
        <f>AF21+AF22+AF23+AF24+AF25+AF26+AF27+AF28+AF29</f>
        <v>100</v>
      </c>
      <c r="AG30" s="12">
        <f>AG21+AG22+AG23+AG24+AG25+AG26+AG27+AG28+AG29</f>
        <v>100</v>
      </c>
      <c r="AH30" s="12">
        <f>AH21+AH22+AH23+AH24+AH25+AH26+AH27+AH28+AH29</f>
        <v>100</v>
      </c>
    </row>
    <row r="31" spans="1:34" ht="15">
      <c r="A31" s="3" t="s">
        <v>0</v>
      </c>
      <c r="B31" s="13">
        <v>1.8058446649184938</v>
      </c>
      <c r="C31" s="13">
        <v>1.098609019225658</v>
      </c>
      <c r="D31" s="13">
        <v>1.4816147127263735</v>
      </c>
      <c r="E31" s="13">
        <v>1.9839516554309253</v>
      </c>
      <c r="F31" s="13">
        <v>0.7923096102169156</v>
      </c>
      <c r="G31" s="13">
        <v>0.5534417156693185</v>
      </c>
      <c r="H31" s="13">
        <v>0.5591692342804975</v>
      </c>
      <c r="I31" s="13">
        <v>0.4332520985648524</v>
      </c>
      <c r="J31" s="14">
        <v>1.427059867567752</v>
      </c>
      <c r="L31" s="25"/>
      <c r="M31" s="29" t="s">
        <v>40</v>
      </c>
      <c r="N31" s="26" t="s">
        <v>42</v>
      </c>
      <c r="O31" s="19" t="s">
        <v>43</v>
      </c>
      <c r="P31" s="19" t="s">
        <v>44</v>
      </c>
      <c r="Q31" s="19" t="s">
        <v>45</v>
      </c>
      <c r="R31" s="19" t="s">
        <v>46</v>
      </c>
      <c r="S31" s="252"/>
      <c r="U31" s="20" t="s">
        <v>24</v>
      </c>
      <c r="V31" s="43">
        <f t="shared" si="19"/>
        <v>79.37659450137537</v>
      </c>
      <c r="W31" s="43">
        <f t="shared" si="20"/>
        <v>9.92403403503271</v>
      </c>
      <c r="X31" s="43">
        <f t="shared" si="21"/>
        <v>7.663583370152359</v>
      </c>
      <c r="Y31" s="43">
        <f t="shared" si="22"/>
        <v>2.8120234311531718</v>
      </c>
      <c r="Z31" s="43">
        <f t="shared" si="23"/>
        <v>0.22376466228639028</v>
      </c>
      <c r="AA31" s="43">
        <f t="shared" si="24"/>
        <v>20.62340549862463</v>
      </c>
      <c r="AB31" s="12">
        <f t="shared" si="25"/>
        <v>99.99999999999997</v>
      </c>
      <c r="AD31" s="8" t="s">
        <v>75</v>
      </c>
      <c r="AH31" s="10" t="s">
        <v>18</v>
      </c>
    </row>
    <row r="32" spans="1:34" ht="15">
      <c r="A32" s="3" t="s">
        <v>1</v>
      </c>
      <c r="B32" s="13">
        <v>0.5704090184098835</v>
      </c>
      <c r="C32" s="13">
        <v>0.9007412657629721</v>
      </c>
      <c r="D32" s="13">
        <v>1.2927594230920558</v>
      </c>
      <c r="E32" s="13">
        <v>1.373943531490957</v>
      </c>
      <c r="F32" s="13">
        <v>0.7590658503476743</v>
      </c>
      <c r="G32" s="13">
        <v>0.546523694223452</v>
      </c>
      <c r="H32" s="13">
        <v>0.2510555745749173</v>
      </c>
      <c r="I32" s="13">
        <v>0.1083130246412131</v>
      </c>
      <c r="J32" s="14">
        <v>1.0270325619496212</v>
      </c>
      <c r="L32" s="20" t="s">
        <v>33</v>
      </c>
      <c r="M32" s="30">
        <f aca="true" t="shared" si="26" ref="M32:M40">(M4/S4)*100</f>
        <v>98.41640579804172</v>
      </c>
      <c r="N32" s="11">
        <f aca="true" t="shared" si="27" ref="N32:N40">(N4/S4)*100</f>
        <v>1.0213074248887593</v>
      </c>
      <c r="O32" s="11">
        <f aca="true" t="shared" si="28" ref="O32:O40">(O4/S4)*100</f>
        <v>0.3416973491422423</v>
      </c>
      <c r="P32" s="11">
        <f aca="true" t="shared" si="29" ref="P32:P40">(P4/S4)*100</f>
        <v>0.14814093934331393</v>
      </c>
      <c r="Q32" s="11">
        <f aca="true" t="shared" si="30" ref="Q32:Q40">(Q4/S4)*100</f>
        <v>0.07244848858395644</v>
      </c>
      <c r="R32" s="11">
        <f aca="true" t="shared" si="31" ref="R32:R40">(R4/S4)*100</f>
        <v>1.583594201958272</v>
      </c>
      <c r="S32" s="12">
        <f>M32+N32+O32+P32+Q32</f>
        <v>99.99999999999999</v>
      </c>
      <c r="U32" s="20" t="s">
        <v>25</v>
      </c>
      <c r="V32" s="43">
        <f t="shared" si="19"/>
        <v>85.5112613236557</v>
      </c>
      <c r="W32" s="43">
        <f t="shared" si="20"/>
        <v>5.554478211485718</v>
      </c>
      <c r="X32" s="43">
        <f t="shared" si="21"/>
        <v>5.618195417901765</v>
      </c>
      <c r="Y32" s="43">
        <f t="shared" si="22"/>
        <v>2.9060586752361695</v>
      </c>
      <c r="Z32" s="43">
        <f t="shared" si="23"/>
        <v>0.4100063717206416</v>
      </c>
      <c r="AA32" s="43">
        <f t="shared" si="24"/>
        <v>14.488738676344296</v>
      </c>
      <c r="AB32" s="12">
        <f t="shared" si="25"/>
        <v>99.99999999999999</v>
      </c>
      <c r="AH32" s="10" t="s">
        <v>31</v>
      </c>
    </row>
    <row r="33" spans="1:30" ht="15.75">
      <c r="A33" s="3" t="s">
        <v>2</v>
      </c>
      <c r="B33" s="13">
        <v>0.46497796761374394</v>
      </c>
      <c r="C33" s="13">
        <v>0.8298632645226071</v>
      </c>
      <c r="D33" s="13">
        <v>1.5310768123925043</v>
      </c>
      <c r="E33" s="13">
        <v>1.5692031412567877</v>
      </c>
      <c r="F33" s="13">
        <v>0.8061611768290993</v>
      </c>
      <c r="G33" s="13">
        <v>0.8785887236250431</v>
      </c>
      <c r="H33" s="13">
        <v>0.6162273194111606</v>
      </c>
      <c r="I33" s="13">
        <v>0.3249390739236393</v>
      </c>
      <c r="J33" s="14">
        <v>1.1604887705645437</v>
      </c>
      <c r="L33" s="20" t="s">
        <v>47</v>
      </c>
      <c r="M33" s="30">
        <f t="shared" si="26"/>
        <v>55.46328954555133</v>
      </c>
      <c r="N33" s="11">
        <f t="shared" si="27"/>
        <v>22.40953147999</v>
      </c>
      <c r="O33" s="11">
        <f t="shared" si="28"/>
        <v>16.123716684718712</v>
      </c>
      <c r="P33" s="11">
        <f t="shared" si="29"/>
        <v>5.347108432619583</v>
      </c>
      <c r="Q33" s="11">
        <f t="shared" si="30"/>
        <v>0.6563538571203748</v>
      </c>
      <c r="R33" s="11">
        <f t="shared" si="31"/>
        <v>44.536710454448674</v>
      </c>
      <c r="S33" s="12">
        <f aca="true" t="shared" si="32" ref="S33:S40">M33+N33+O33+P33+Q33</f>
        <v>100</v>
      </c>
      <c r="U33" s="20" t="s">
        <v>59</v>
      </c>
      <c r="V33" s="43">
        <f t="shared" si="19"/>
        <v>87.38434097580915</v>
      </c>
      <c r="W33" s="43">
        <f t="shared" si="20"/>
        <v>4.0355245067072945</v>
      </c>
      <c r="X33" s="43">
        <f t="shared" si="21"/>
        <v>4.555757868529597</v>
      </c>
      <c r="Y33" s="43">
        <f t="shared" si="22"/>
        <v>2.9987737356471333</v>
      </c>
      <c r="Z33" s="43">
        <f t="shared" si="23"/>
        <v>1.0256029133068263</v>
      </c>
      <c r="AA33" s="43">
        <f t="shared" si="24"/>
        <v>12.615659024190851</v>
      </c>
      <c r="AB33" s="12">
        <f t="shared" si="25"/>
        <v>100</v>
      </c>
      <c r="AD33" s="1" t="s">
        <v>79</v>
      </c>
    </row>
    <row r="34" spans="1:34" ht="15">
      <c r="A34" s="3" t="s">
        <v>3</v>
      </c>
      <c r="B34" s="13">
        <v>1.346273417858398</v>
      </c>
      <c r="C34" s="13">
        <v>1.712885029975488</v>
      </c>
      <c r="D34" s="13">
        <v>3.6714367615814383</v>
      </c>
      <c r="E34" s="13">
        <v>1.879908213730884</v>
      </c>
      <c r="F34" s="13">
        <v>0.9225143363714436</v>
      </c>
      <c r="G34" s="13">
        <v>0.41508128675198896</v>
      </c>
      <c r="H34" s="13">
        <v>0.890106128038343</v>
      </c>
      <c r="I34" s="13">
        <v>1.543460601137287</v>
      </c>
      <c r="J34" s="14">
        <v>2.1131135231073794</v>
      </c>
      <c r="L34" s="20" t="s">
        <v>34</v>
      </c>
      <c r="M34" s="30">
        <f t="shared" si="26"/>
        <v>73.20555188367481</v>
      </c>
      <c r="N34" s="11">
        <f t="shared" si="27"/>
        <v>17.89380920907689</v>
      </c>
      <c r="O34" s="11">
        <f t="shared" si="28"/>
        <v>6.701916721744877</v>
      </c>
      <c r="P34" s="11">
        <f t="shared" si="29"/>
        <v>1.8285966071821986</v>
      </c>
      <c r="Q34" s="11">
        <f t="shared" si="30"/>
        <v>0.3701255783212161</v>
      </c>
      <c r="R34" s="11">
        <f t="shared" si="31"/>
        <v>26.79444811632518</v>
      </c>
      <c r="S34" s="12">
        <f t="shared" si="32"/>
        <v>100</v>
      </c>
      <c r="U34" s="21" t="s">
        <v>60</v>
      </c>
      <c r="V34" s="44">
        <f t="shared" si="19"/>
        <v>82.57969827291966</v>
      </c>
      <c r="W34" s="44">
        <f t="shared" si="20"/>
        <v>8.907092634309508</v>
      </c>
      <c r="X34" s="44">
        <f t="shared" si="21"/>
        <v>6.160488770564544</v>
      </c>
      <c r="Y34" s="44">
        <f t="shared" si="22"/>
        <v>2.0649873711516142</v>
      </c>
      <c r="Z34" s="44">
        <f t="shared" si="23"/>
        <v>0.2877329510546795</v>
      </c>
      <c r="AA34" s="44">
        <f t="shared" si="24"/>
        <v>17.420301727080346</v>
      </c>
      <c r="AB34" s="12">
        <f t="shared" si="25"/>
        <v>100</v>
      </c>
      <c r="AD34" s="230" t="s">
        <v>64</v>
      </c>
      <c r="AE34" s="47"/>
      <c r="AF34" s="232" t="s">
        <v>41</v>
      </c>
      <c r="AG34" s="233"/>
      <c r="AH34" s="234" t="s">
        <v>20</v>
      </c>
    </row>
    <row r="35" spans="1:34" ht="15">
      <c r="A35" s="3" t="s">
        <v>4</v>
      </c>
      <c r="B35" s="13">
        <v>1.3624935795193427</v>
      </c>
      <c r="C35" s="13">
        <v>3.5557130622249784</v>
      </c>
      <c r="D35" s="13">
        <v>5.273334307586812</v>
      </c>
      <c r="E35" s="13">
        <v>3.8952154269344246</v>
      </c>
      <c r="F35" s="13">
        <v>1.5209020140177854</v>
      </c>
      <c r="G35" s="13">
        <v>1.9024558976132824</v>
      </c>
      <c r="H35" s="13">
        <v>2.042679447677736</v>
      </c>
      <c r="I35" s="13">
        <v>1.380991064175467</v>
      </c>
      <c r="J35" s="14">
        <v>3.476687828520718</v>
      </c>
      <c r="L35" s="20" t="s">
        <v>35</v>
      </c>
      <c r="M35" s="30">
        <f t="shared" si="26"/>
        <v>54.1935306111203</v>
      </c>
      <c r="N35" s="11">
        <f t="shared" si="27"/>
        <v>24.957293216509616</v>
      </c>
      <c r="O35" s="11">
        <f t="shared" si="28"/>
        <v>17.102000330633164</v>
      </c>
      <c r="P35" s="11">
        <f t="shared" si="29"/>
        <v>3.5791039841296084</v>
      </c>
      <c r="Q35" s="11">
        <f t="shared" si="30"/>
        <v>0.16807185760731802</v>
      </c>
      <c r="R35" s="11">
        <f t="shared" si="31"/>
        <v>45.806469388879705</v>
      </c>
      <c r="S35" s="12">
        <f t="shared" si="32"/>
        <v>100</v>
      </c>
      <c r="U35" s="8" t="s">
        <v>61</v>
      </c>
      <c r="AB35" s="10" t="s">
        <v>18</v>
      </c>
      <c r="AD35" s="231"/>
      <c r="AE35" s="237" t="s">
        <v>40</v>
      </c>
      <c r="AF35" s="239" t="s">
        <v>76</v>
      </c>
      <c r="AG35" s="241" t="s">
        <v>77</v>
      </c>
      <c r="AH35" s="235"/>
    </row>
    <row r="36" spans="1:34" ht="15">
      <c r="A36" s="3" t="s">
        <v>5</v>
      </c>
      <c r="B36" s="13">
        <v>0.44335108539915113</v>
      </c>
      <c r="C36" s="13">
        <v>1.2758040223265705</v>
      </c>
      <c r="D36" s="13">
        <v>1.2399249075395977</v>
      </c>
      <c r="E36" s="13">
        <v>1.1088465430497556</v>
      </c>
      <c r="F36" s="13">
        <v>0.667645510707261</v>
      </c>
      <c r="G36" s="13">
        <v>0.39432722241438944</v>
      </c>
      <c r="H36" s="13">
        <v>0.4336414469930389</v>
      </c>
      <c r="I36" s="13">
        <v>0.3249390739236393</v>
      </c>
      <c r="J36" s="14">
        <v>0.9642296402484811</v>
      </c>
      <c r="L36" s="20" t="s">
        <v>36</v>
      </c>
      <c r="M36" s="30">
        <f t="shared" si="26"/>
        <v>51.28049453582073</v>
      </c>
      <c r="N36" s="11">
        <f t="shared" si="27"/>
        <v>24.15829561761784</v>
      </c>
      <c r="O36" s="11">
        <f t="shared" si="28"/>
        <v>18.655480737388235</v>
      </c>
      <c r="P36" s="11">
        <f t="shared" si="29"/>
        <v>5.558008610221879</v>
      </c>
      <c r="Q36" s="11">
        <f t="shared" si="30"/>
        <v>0.3477204989513191</v>
      </c>
      <c r="R36" s="11">
        <f t="shared" si="31"/>
        <v>48.71950546417927</v>
      </c>
      <c r="S36" s="12">
        <f t="shared" si="32"/>
        <v>99.99999999999999</v>
      </c>
      <c r="AB36" s="10" t="s">
        <v>31</v>
      </c>
      <c r="AD36" s="48"/>
      <c r="AE36" s="238"/>
      <c r="AF36" s="240"/>
      <c r="AG36" s="242"/>
      <c r="AH36" s="236"/>
    </row>
    <row r="37" spans="1:34" ht="15">
      <c r="A37" s="3" t="s">
        <v>6</v>
      </c>
      <c r="B37" s="13">
        <v>0.3676569976480766</v>
      </c>
      <c r="C37" s="13">
        <v>0.5345382593544196</v>
      </c>
      <c r="D37" s="13">
        <v>0.42380026304843915</v>
      </c>
      <c r="E37" s="13">
        <v>0.7967162179496315</v>
      </c>
      <c r="F37" s="13">
        <v>0.5346704712302961</v>
      </c>
      <c r="G37" s="13">
        <v>0.42891732964372187</v>
      </c>
      <c r="H37" s="13">
        <v>0.3765833618623759</v>
      </c>
      <c r="I37" s="13">
        <v>0.2437043054427295</v>
      </c>
      <c r="J37" s="14">
        <v>0.5290463512867772</v>
      </c>
      <c r="L37" s="20" t="s">
        <v>37</v>
      </c>
      <c r="M37" s="30">
        <f t="shared" si="26"/>
        <v>38.850889192886456</v>
      </c>
      <c r="N37" s="11">
        <f t="shared" si="27"/>
        <v>19.77721321086574</v>
      </c>
      <c r="O37" s="11">
        <f t="shared" si="28"/>
        <v>24.145006839945278</v>
      </c>
      <c r="P37" s="11">
        <f t="shared" si="29"/>
        <v>15.204221223373072</v>
      </c>
      <c r="Q37" s="11">
        <f t="shared" si="30"/>
        <v>2.022669532929451</v>
      </c>
      <c r="R37" s="11">
        <f t="shared" si="31"/>
        <v>61.14911080711354</v>
      </c>
      <c r="S37" s="12">
        <f t="shared" si="32"/>
        <v>100</v>
      </c>
      <c r="AD37" s="3" t="s">
        <v>65</v>
      </c>
      <c r="AE37" s="11">
        <f>(AE5/AH5)*100</f>
        <v>87.01070564449306</v>
      </c>
      <c r="AF37" s="11">
        <f>(AF5/AH5)*100</f>
        <v>12.362865002817275</v>
      </c>
      <c r="AG37" s="11">
        <f>(AG5/AH5)*100</f>
        <v>0.6264293526896689</v>
      </c>
      <c r="AH37" s="44">
        <f>AG37+AF37+AE37</f>
        <v>100</v>
      </c>
    </row>
    <row r="38" spans="1:34" ht="15" customHeight="1">
      <c r="A38" s="3" t="s">
        <v>7</v>
      </c>
      <c r="B38" s="13">
        <v>0.5514854964721148</v>
      </c>
      <c r="C38" s="13">
        <v>0.7117332624553321</v>
      </c>
      <c r="D38" s="13">
        <v>0.3810829951549625</v>
      </c>
      <c r="E38" s="13">
        <v>0.5202172085002067</v>
      </c>
      <c r="F38" s="13">
        <v>0.45156107155719316</v>
      </c>
      <c r="G38" s="13">
        <v>0.49117952265652026</v>
      </c>
      <c r="H38" s="13">
        <v>0.6048157023850279</v>
      </c>
      <c r="I38" s="13">
        <v>0.2437043054427295</v>
      </c>
      <c r="J38" s="14">
        <v>0.4932077274899311</v>
      </c>
      <c r="L38" s="20" t="s">
        <v>38</v>
      </c>
      <c r="M38" s="30">
        <f t="shared" si="26"/>
        <v>42.26281075596144</v>
      </c>
      <c r="N38" s="11">
        <f t="shared" si="27"/>
        <v>12.1765601217656</v>
      </c>
      <c r="O38" s="11">
        <f t="shared" si="28"/>
        <v>19.27955352612887</v>
      </c>
      <c r="P38" s="11">
        <f t="shared" si="29"/>
        <v>18.87366818873668</v>
      </c>
      <c r="Q38" s="11">
        <f t="shared" si="30"/>
        <v>7.4074074074074066</v>
      </c>
      <c r="R38" s="11">
        <f t="shared" si="31"/>
        <v>57.737189244038554</v>
      </c>
      <c r="S38" s="12">
        <f t="shared" si="32"/>
        <v>99.99999999999999</v>
      </c>
      <c r="AD38" s="3" t="s">
        <v>66</v>
      </c>
      <c r="AE38" s="11">
        <f aca="true" t="shared" si="33" ref="AE38:AE46">(AE6/AH6)*100</f>
        <v>89.15517383764143</v>
      </c>
      <c r="AF38" s="11">
        <f aca="true" t="shared" si="34" ref="AF38:AF46">(AF6/AH6)*100</f>
        <v>10.430258485424066</v>
      </c>
      <c r="AG38" s="11">
        <f aca="true" t="shared" si="35" ref="AG38:AG46">(AG6/AH6)*100</f>
        <v>0.4145676769345115</v>
      </c>
      <c r="AH38" s="44">
        <f aca="true" t="shared" si="36" ref="AH38:AH46">AG38+AF38+AE38</f>
        <v>100</v>
      </c>
    </row>
    <row r="39" spans="1:34" ht="15">
      <c r="A39" s="3" t="s">
        <v>8</v>
      </c>
      <c r="B39" s="13">
        <v>0.07299072747425049</v>
      </c>
      <c r="C39" s="13">
        <v>0.1358495023773663</v>
      </c>
      <c r="D39" s="13">
        <v>0.07419314949919624</v>
      </c>
      <c r="E39" s="13">
        <v>0.1724555677493836</v>
      </c>
      <c r="F39" s="13">
        <v>0.36568135856165335</v>
      </c>
      <c r="G39" s="13">
        <v>0.5949498443445175</v>
      </c>
      <c r="H39" s="13">
        <v>0.7075202556202214</v>
      </c>
      <c r="I39" s="13">
        <v>0.2437043054427295</v>
      </c>
      <c r="J39" s="14">
        <v>0.18738480442351013</v>
      </c>
      <c r="L39" s="20" t="s">
        <v>39</v>
      </c>
      <c r="M39" s="30">
        <f t="shared" si="26"/>
        <v>40.27072758037225</v>
      </c>
      <c r="N39" s="11">
        <f t="shared" si="27"/>
        <v>11.844331641285956</v>
      </c>
      <c r="O39" s="11">
        <f t="shared" si="28"/>
        <v>13.19796954314721</v>
      </c>
      <c r="P39" s="11">
        <f t="shared" si="29"/>
        <v>20.304568527918782</v>
      </c>
      <c r="Q39" s="11">
        <f t="shared" si="30"/>
        <v>14.382402707275805</v>
      </c>
      <c r="R39" s="11">
        <f t="shared" si="31"/>
        <v>59.729272419627755</v>
      </c>
      <c r="S39" s="12">
        <f t="shared" si="32"/>
        <v>99.99999999999999</v>
      </c>
      <c r="AD39" s="3" t="s">
        <v>67</v>
      </c>
      <c r="AE39" s="11">
        <f t="shared" si="33"/>
        <v>88.96867269423586</v>
      </c>
      <c r="AF39" s="11">
        <f t="shared" si="34"/>
        <v>10.665732612360165</v>
      </c>
      <c r="AG39" s="11">
        <f t="shared" si="35"/>
        <v>0.3655946934039712</v>
      </c>
      <c r="AH39" s="44">
        <f t="shared" si="36"/>
        <v>100</v>
      </c>
    </row>
    <row r="40" spans="1:34" ht="15">
      <c r="A40" s="3" t="s">
        <v>9</v>
      </c>
      <c r="B40" s="13">
        <v>2.138357978967857</v>
      </c>
      <c r="C40" s="13">
        <v>1.9461917840583562</v>
      </c>
      <c r="D40" s="13">
        <v>1.044324786132626</v>
      </c>
      <c r="E40" s="13">
        <v>1.7801405299089264</v>
      </c>
      <c r="F40" s="13">
        <v>1.8422583594204505</v>
      </c>
      <c r="G40" s="13">
        <v>2.0892424766516777</v>
      </c>
      <c r="H40" s="13">
        <v>1.2552778728745864</v>
      </c>
      <c r="I40" s="13">
        <v>0.29786081776333606</v>
      </c>
      <c r="J40" s="14">
        <v>1.6096661888183494</v>
      </c>
      <c r="L40" s="21" t="s">
        <v>48</v>
      </c>
      <c r="M40" s="30">
        <f t="shared" si="26"/>
        <v>82.57969827291966</v>
      </c>
      <c r="N40" s="11">
        <f t="shared" si="27"/>
        <v>8.907092634309508</v>
      </c>
      <c r="O40" s="11">
        <f t="shared" si="28"/>
        <v>6.160488770564544</v>
      </c>
      <c r="P40" s="11">
        <f t="shared" si="29"/>
        <v>2.0649873711516142</v>
      </c>
      <c r="Q40" s="11">
        <f t="shared" si="30"/>
        <v>0.2877329510546795</v>
      </c>
      <c r="R40" s="11">
        <f t="shared" si="31"/>
        <v>17.420301727080346</v>
      </c>
      <c r="S40" s="12">
        <f t="shared" si="32"/>
        <v>100</v>
      </c>
      <c r="AD40" s="3" t="s">
        <v>68</v>
      </c>
      <c r="AE40" s="11">
        <f t="shared" si="33"/>
        <v>86.62420382165605</v>
      </c>
      <c r="AF40" s="11">
        <f t="shared" si="34"/>
        <v>12.735106781566131</v>
      </c>
      <c r="AG40" s="11">
        <f t="shared" si="35"/>
        <v>0.6406893967778193</v>
      </c>
      <c r="AH40" s="44">
        <f t="shared" si="36"/>
        <v>100</v>
      </c>
    </row>
    <row r="41" spans="1:34" ht="15">
      <c r="A41" s="3" t="s">
        <v>10</v>
      </c>
      <c r="B41" s="13">
        <v>0.22708226325322375</v>
      </c>
      <c r="C41" s="13">
        <v>0.18900800330764006</v>
      </c>
      <c r="D41" s="13">
        <v>0.1405173285969626</v>
      </c>
      <c r="E41" s="13">
        <v>0.26652224106722916</v>
      </c>
      <c r="F41" s="13">
        <v>0.2936532121782974</v>
      </c>
      <c r="G41" s="13">
        <v>0.41508128675198896</v>
      </c>
      <c r="H41" s="13">
        <v>0.3081136597055803</v>
      </c>
      <c r="I41" s="13">
        <v>0.08123476848090982</v>
      </c>
      <c r="J41" s="14">
        <v>0.2239060686736296</v>
      </c>
      <c r="L41" s="8" t="s">
        <v>49</v>
      </c>
      <c r="S41" s="10" t="s">
        <v>18</v>
      </c>
      <c r="AD41" s="3" t="s">
        <v>69</v>
      </c>
      <c r="AE41" s="11">
        <f t="shared" si="33"/>
        <v>71.34038800705468</v>
      </c>
      <c r="AF41" s="11">
        <f t="shared" si="34"/>
        <v>21.632071632071632</v>
      </c>
      <c r="AG41" s="11">
        <f t="shared" si="35"/>
        <v>7.027540360873694</v>
      </c>
      <c r="AH41" s="44">
        <f t="shared" si="36"/>
        <v>100.00000000000001</v>
      </c>
    </row>
    <row r="42" spans="1:34" ht="15">
      <c r="A42" s="3" t="s">
        <v>11</v>
      </c>
      <c r="B42" s="13">
        <v>0.1432780946716769</v>
      </c>
      <c r="C42" s="13">
        <v>0.23330675408286822</v>
      </c>
      <c r="D42" s="13">
        <v>0.2192070326112616</v>
      </c>
      <c r="E42" s="13">
        <v>0.3306586092384875</v>
      </c>
      <c r="F42" s="13">
        <v>1.2355597418067985</v>
      </c>
      <c r="G42" s="13">
        <v>1.6603251470079559</v>
      </c>
      <c r="H42" s="13">
        <v>1.814447107155084</v>
      </c>
      <c r="I42" s="13">
        <v>1.4893040888166802</v>
      </c>
      <c r="J42" s="14">
        <v>0.4979862106628439</v>
      </c>
      <c r="S42" s="10" t="s">
        <v>31</v>
      </c>
      <c r="AD42" s="3" t="s">
        <v>70</v>
      </c>
      <c r="AE42" s="11">
        <f t="shared" si="33"/>
        <v>74.8294256295745</v>
      </c>
      <c r="AF42" s="11">
        <f t="shared" si="34"/>
        <v>22.88177645453418</v>
      </c>
      <c r="AG42" s="11">
        <f t="shared" si="35"/>
        <v>2.2887979158913283</v>
      </c>
      <c r="AH42" s="44">
        <f t="shared" si="36"/>
        <v>100.00000000000001</v>
      </c>
    </row>
    <row r="43" spans="1:34" ht="15">
      <c r="A43" s="3" t="s">
        <v>12</v>
      </c>
      <c r="B43" s="13">
        <v>0.49741829093563295</v>
      </c>
      <c r="C43" s="13">
        <v>0.36029650630518884</v>
      </c>
      <c r="D43" s="13">
        <v>0.25180705284575694</v>
      </c>
      <c r="E43" s="13">
        <v>0.5572737767769337</v>
      </c>
      <c r="F43" s="13">
        <v>0.5235892179405491</v>
      </c>
      <c r="G43" s="13">
        <v>0.20062262193012798</v>
      </c>
      <c r="H43" s="13">
        <v>0.2852904256533151</v>
      </c>
      <c r="I43" s="13">
        <v>0.05415651232060655</v>
      </c>
      <c r="J43" s="14">
        <v>0.39797938425831114</v>
      </c>
      <c r="AD43" s="3" t="s">
        <v>71</v>
      </c>
      <c r="AE43" s="11">
        <f t="shared" si="33"/>
        <v>77.60917102909019</v>
      </c>
      <c r="AF43" s="11">
        <f t="shared" si="34"/>
        <v>20.76071830892585</v>
      </c>
      <c r="AG43" s="11">
        <f t="shared" si="35"/>
        <v>1.630110661983964</v>
      </c>
      <c r="AH43" s="44">
        <f t="shared" si="36"/>
        <v>100</v>
      </c>
    </row>
    <row r="44" spans="1:34" ht="15" customHeight="1">
      <c r="A44" s="3" t="s">
        <v>13</v>
      </c>
      <c r="B44" s="13">
        <v>0.18653185910086237</v>
      </c>
      <c r="C44" s="13">
        <v>0.31895100558164263</v>
      </c>
      <c r="D44" s="13">
        <v>0.3271243409737289</v>
      </c>
      <c r="E44" s="13">
        <v>0.30927981984806807</v>
      </c>
      <c r="F44" s="13">
        <v>0.3296672853699753</v>
      </c>
      <c r="G44" s="13">
        <v>0.4496713939813214</v>
      </c>
      <c r="H44" s="13">
        <v>0.36517174483624326</v>
      </c>
      <c r="I44" s="13">
        <v>0.16246953696181965</v>
      </c>
      <c r="J44" s="14">
        <v>0.30957744555942385</v>
      </c>
      <c r="AD44" s="3" t="s">
        <v>72</v>
      </c>
      <c r="AE44" s="11">
        <f t="shared" si="33"/>
        <v>71.16823065415477</v>
      </c>
      <c r="AF44" s="11">
        <f t="shared" si="34"/>
        <v>23.81340949272406</v>
      </c>
      <c r="AG44" s="11">
        <f t="shared" si="35"/>
        <v>5.018359853121175</v>
      </c>
      <c r="AH44" s="44">
        <f t="shared" si="36"/>
        <v>100</v>
      </c>
    </row>
    <row r="45" spans="1:34" ht="15">
      <c r="A45" s="3" t="s">
        <v>14</v>
      </c>
      <c r="B45" s="13">
        <v>0.08650752885837096</v>
      </c>
      <c r="C45" s="13">
        <v>0.5079590088892827</v>
      </c>
      <c r="D45" s="13">
        <v>0.3934485200714952</v>
      </c>
      <c r="E45" s="13">
        <v>0.41902427205222126</v>
      </c>
      <c r="F45" s="13">
        <v>0.5706845444219741</v>
      </c>
      <c r="G45" s="13">
        <v>0.45658941542718784</v>
      </c>
      <c r="H45" s="13">
        <v>0.5705808513066302</v>
      </c>
      <c r="I45" s="13">
        <v>0.29786081776333606</v>
      </c>
      <c r="J45" s="14">
        <v>0.40309918765786057</v>
      </c>
      <c r="AD45" s="3" t="s">
        <v>73</v>
      </c>
      <c r="AE45" s="11">
        <f t="shared" si="33"/>
        <v>67.44458598726115</v>
      </c>
      <c r="AF45" s="11">
        <f t="shared" si="34"/>
        <v>25.951592356687897</v>
      </c>
      <c r="AG45" s="11">
        <f t="shared" si="35"/>
        <v>6.603821656050955</v>
      </c>
      <c r="AH45" s="44">
        <f t="shared" si="36"/>
        <v>100</v>
      </c>
    </row>
    <row r="46" spans="1:34" ht="15">
      <c r="A46" s="3" t="s">
        <v>15</v>
      </c>
      <c r="B46" s="13">
        <v>0.5136384525965775</v>
      </c>
      <c r="C46" s="13">
        <v>0.8121437642125159</v>
      </c>
      <c r="D46" s="13">
        <v>0.7857729015142147</v>
      </c>
      <c r="E46" s="13">
        <v>1.641891025184214</v>
      </c>
      <c r="F46" s="13">
        <v>1.3131285148350278</v>
      </c>
      <c r="G46" s="13">
        <v>0.7817364233829125</v>
      </c>
      <c r="H46" s="13">
        <v>0.2510555745749173</v>
      </c>
      <c r="I46" s="13">
        <v>0.2437043054427295</v>
      </c>
      <c r="J46" s="14">
        <v>1.0014335449518739</v>
      </c>
      <c r="AD46" s="21" t="s">
        <v>60</v>
      </c>
      <c r="AE46" s="12">
        <f t="shared" si="33"/>
        <v>83.3635570168377</v>
      </c>
      <c r="AF46" s="12">
        <f t="shared" si="34"/>
        <v>14.901829521477175</v>
      </c>
      <c r="AG46" s="12">
        <f t="shared" si="35"/>
        <v>1.7346134616851256</v>
      </c>
      <c r="AH46" s="44">
        <f t="shared" si="36"/>
        <v>100</v>
      </c>
    </row>
    <row r="47" spans="1:34" ht="15">
      <c r="A47" s="3" t="s">
        <v>16</v>
      </c>
      <c r="B47" s="13">
        <v>2.1680949420129223</v>
      </c>
      <c r="C47" s="13">
        <v>1.497297776202711</v>
      </c>
      <c r="D47" s="13">
        <v>1.0229661521858875</v>
      </c>
      <c r="E47" s="13">
        <v>1.8927354873651354</v>
      </c>
      <c r="F47" s="13">
        <v>1.3879269745408205</v>
      </c>
      <c r="G47" s="13">
        <v>1.4597025250778277</v>
      </c>
      <c r="H47" s="13">
        <v>1.0042222982996691</v>
      </c>
      <c r="I47" s="13">
        <v>0.4061738424045491</v>
      </c>
      <c r="J47" s="14">
        <v>1.4888388285889822</v>
      </c>
      <c r="AD47" s="8" t="s">
        <v>75</v>
      </c>
      <c r="AH47" s="10" t="s">
        <v>18</v>
      </c>
    </row>
    <row r="48" spans="1:34" ht="15">
      <c r="A48" s="3" t="s">
        <v>17</v>
      </c>
      <c r="B48" s="13">
        <v>0.08650752885837096</v>
      </c>
      <c r="C48" s="13">
        <v>0.07087800124036503</v>
      </c>
      <c r="D48" s="13">
        <v>0.08431039715817754</v>
      </c>
      <c r="E48" s="13">
        <v>0.12542223109046077</v>
      </c>
      <c r="F48" s="13">
        <v>0.17175942599107957</v>
      </c>
      <c r="G48" s="13">
        <v>0.1937046004842615</v>
      </c>
      <c r="H48" s="13">
        <v>0.10270455323519344</v>
      </c>
      <c r="I48" s="13">
        <v>0.08123476848090982</v>
      </c>
      <c r="J48" s="14">
        <v>0.1095637927503584</v>
      </c>
      <c r="AH48" s="10" t="s">
        <v>31</v>
      </c>
    </row>
    <row r="49" spans="1:10" ht="15">
      <c r="A49" s="7" t="s">
        <v>20</v>
      </c>
      <c r="B49" s="14">
        <v>100</v>
      </c>
      <c r="C49" s="14">
        <v>100</v>
      </c>
      <c r="D49" s="14">
        <v>100</v>
      </c>
      <c r="E49" s="14">
        <v>100</v>
      </c>
      <c r="F49" s="14">
        <v>100</v>
      </c>
      <c r="G49" s="14">
        <v>100</v>
      </c>
      <c r="H49" s="14">
        <v>100</v>
      </c>
      <c r="I49" s="14">
        <v>100</v>
      </c>
      <c r="J49" s="14">
        <v>100</v>
      </c>
    </row>
    <row r="50" spans="1:10" ht="12.75">
      <c r="A50" s="8" t="s">
        <v>19</v>
      </c>
      <c r="B50" s="8"/>
      <c r="D50" s="9"/>
      <c r="E50" s="9"/>
      <c r="F50" s="9"/>
      <c r="G50" s="9"/>
      <c r="H50" s="9"/>
      <c r="I50" s="9"/>
      <c r="J50" s="10" t="s">
        <v>18</v>
      </c>
    </row>
    <row r="51" spans="4:10" ht="12.75">
      <c r="D51" s="9"/>
      <c r="E51" s="9"/>
      <c r="F51" s="9"/>
      <c r="G51" s="9"/>
      <c r="H51" s="9"/>
      <c r="I51" s="9"/>
      <c r="J51" s="10" t="s">
        <v>31</v>
      </c>
    </row>
    <row r="53" ht="15.75">
      <c r="A53" s="1" t="s">
        <v>52</v>
      </c>
    </row>
    <row r="54" spans="1:10" ht="15">
      <c r="A54" s="17" t="s">
        <v>53</v>
      </c>
      <c r="B54" s="257" t="s">
        <v>28</v>
      </c>
      <c r="C54" s="256"/>
      <c r="D54" s="256"/>
      <c r="E54" s="256"/>
      <c r="F54" s="256"/>
      <c r="G54" s="256"/>
      <c r="H54" s="256"/>
      <c r="I54" s="256"/>
      <c r="J54" s="256"/>
    </row>
    <row r="55" spans="1:10" ht="15">
      <c r="A55" s="18"/>
      <c r="B55" s="15" t="s">
        <v>21</v>
      </c>
      <c r="C55" s="2" t="s">
        <v>22</v>
      </c>
      <c r="D55" s="2" t="s">
        <v>23</v>
      </c>
      <c r="E55" s="2" t="s">
        <v>24</v>
      </c>
      <c r="F55" s="2" t="s">
        <v>25</v>
      </c>
      <c r="G55" s="2" t="s">
        <v>26</v>
      </c>
      <c r="H55" s="2" t="s">
        <v>27</v>
      </c>
      <c r="I55" s="2" t="s">
        <v>29</v>
      </c>
      <c r="J55" s="2" t="s">
        <v>20</v>
      </c>
    </row>
    <row r="56" spans="1:10" ht="15">
      <c r="A56" s="16" t="s">
        <v>30</v>
      </c>
      <c r="B56" s="13">
        <v>13.296575212240949</v>
      </c>
      <c r="C56" s="13">
        <v>11.65940597333245</v>
      </c>
      <c r="D56" s="13">
        <v>29.547164196377647</v>
      </c>
      <c r="E56" s="13">
        <v>23.019153350803084</v>
      </c>
      <c r="F56" s="13">
        <v>12.758016384092056</v>
      </c>
      <c r="G56" s="13">
        <v>5.143381471592365</v>
      </c>
      <c r="H56" s="13">
        <v>3.171421249721008</v>
      </c>
      <c r="I56" s="13">
        <v>1.404882161840441</v>
      </c>
      <c r="J56" s="14">
        <v>100</v>
      </c>
    </row>
    <row r="57" spans="1:10" ht="15">
      <c r="A57" s="3" t="s">
        <v>0</v>
      </c>
      <c r="B57" s="13">
        <v>15.977038985888544</v>
      </c>
      <c r="C57" s="13">
        <v>8.897392968189429</v>
      </c>
      <c r="D57" s="13">
        <v>31.523558957187277</v>
      </c>
      <c r="E57" s="13">
        <v>33.29347046161206</v>
      </c>
      <c r="F57" s="13">
        <v>6.840468787371442</v>
      </c>
      <c r="G57" s="13">
        <v>1.9134178426213824</v>
      </c>
      <c r="H57" s="13">
        <v>1.171968428605597</v>
      </c>
      <c r="I57" s="13">
        <v>0.3826835685242765</v>
      </c>
      <c r="J57" s="14">
        <v>100</v>
      </c>
    </row>
    <row r="58" spans="1:10" ht="15">
      <c r="A58" s="3" t="s">
        <v>1</v>
      </c>
      <c r="B58" s="13">
        <v>7.01229644400133</v>
      </c>
      <c r="C58" s="13">
        <v>10.136257892987704</v>
      </c>
      <c r="D58" s="13">
        <v>38.21867730142905</v>
      </c>
      <c r="E58" s="13">
        <v>32.03722166832835</v>
      </c>
      <c r="F58" s="13">
        <v>9.10601528747092</v>
      </c>
      <c r="G58" s="13">
        <v>2.6254569624459956</v>
      </c>
      <c r="H58" s="13">
        <v>0.7311399135925557</v>
      </c>
      <c r="I58" s="13">
        <v>0.13293452974410103</v>
      </c>
      <c r="J58" s="14">
        <v>100</v>
      </c>
    </row>
    <row r="59" spans="1:10" ht="15">
      <c r="A59" s="3" t="s">
        <v>2</v>
      </c>
      <c r="B59" s="13">
        <v>5.0588235294117645</v>
      </c>
      <c r="C59" s="13">
        <v>8.26470588235294</v>
      </c>
      <c r="D59" s="13">
        <v>40.05882352941176</v>
      </c>
      <c r="E59" s="13">
        <v>32.38235294117647</v>
      </c>
      <c r="F59" s="13">
        <v>8.558823529411764</v>
      </c>
      <c r="G59" s="13">
        <v>3.735294117647059</v>
      </c>
      <c r="H59" s="13">
        <v>1.588235294117647</v>
      </c>
      <c r="I59" s="13">
        <v>0.35294117647058826</v>
      </c>
      <c r="J59" s="14">
        <v>100</v>
      </c>
    </row>
    <row r="60" spans="1:10" ht="15">
      <c r="A60" s="3" t="s">
        <v>3</v>
      </c>
      <c r="B60" s="13">
        <v>8.0439347439832</v>
      </c>
      <c r="C60" s="13">
        <v>9.36843805524148</v>
      </c>
      <c r="D60" s="13">
        <v>52.75399773865288</v>
      </c>
      <c r="E60" s="13">
        <v>21.305120335971573</v>
      </c>
      <c r="F60" s="13">
        <v>5.378775642061057</v>
      </c>
      <c r="G60" s="13">
        <v>0.9691487643353255</v>
      </c>
      <c r="H60" s="13">
        <v>1.2598933936359231</v>
      </c>
      <c r="I60" s="13">
        <v>0.9206913261185593</v>
      </c>
      <c r="J60" s="14">
        <v>100</v>
      </c>
    </row>
    <row r="61" spans="1:10" ht="15">
      <c r="A61" s="3" t="s">
        <v>4</v>
      </c>
      <c r="B61" s="13">
        <v>4.947967798939721</v>
      </c>
      <c r="C61" s="13">
        <v>11.820145297467112</v>
      </c>
      <c r="D61" s="13">
        <v>46.053406636559984</v>
      </c>
      <c r="E61" s="13">
        <v>26.830944433536224</v>
      </c>
      <c r="F61" s="13">
        <v>5.389750638130768</v>
      </c>
      <c r="G61" s="13">
        <v>2.699784017278618</v>
      </c>
      <c r="H61" s="13">
        <v>1.7573139603377184</v>
      </c>
      <c r="I61" s="13">
        <v>0.5006872177498527</v>
      </c>
      <c r="J61" s="14">
        <v>100</v>
      </c>
    </row>
    <row r="62" spans="1:10" ht="15">
      <c r="A62" s="3" t="s">
        <v>5</v>
      </c>
      <c r="B62" s="13">
        <v>5.8053097345132745</v>
      </c>
      <c r="C62" s="13">
        <v>15.29203539823009</v>
      </c>
      <c r="D62" s="13">
        <v>39.04424778761062</v>
      </c>
      <c r="E62" s="13">
        <v>27.539823008849556</v>
      </c>
      <c r="F62" s="13">
        <v>8.530973451327434</v>
      </c>
      <c r="G62" s="13">
        <v>2.017699115044248</v>
      </c>
      <c r="H62" s="13">
        <v>1.3451327433628317</v>
      </c>
      <c r="I62" s="13">
        <v>0.42477876106194695</v>
      </c>
      <c r="J62" s="14">
        <v>100</v>
      </c>
    </row>
    <row r="63" spans="1:10" ht="15">
      <c r="A63" s="3" t="s">
        <v>6</v>
      </c>
      <c r="B63" s="13">
        <v>8.774193548387096</v>
      </c>
      <c r="C63" s="13">
        <v>11.67741935483871</v>
      </c>
      <c r="D63" s="13">
        <v>24.322580645161292</v>
      </c>
      <c r="E63" s="13">
        <v>36.064516129032256</v>
      </c>
      <c r="F63" s="13">
        <v>12.451612903225806</v>
      </c>
      <c r="G63" s="13">
        <v>4</v>
      </c>
      <c r="H63" s="13">
        <v>2.129032258064516</v>
      </c>
      <c r="I63" s="13">
        <v>0.5806451612903226</v>
      </c>
      <c r="J63" s="14">
        <v>100</v>
      </c>
    </row>
    <row r="64" spans="1:10" ht="15">
      <c r="A64" s="3" t="s">
        <v>7</v>
      </c>
      <c r="B64" s="13">
        <v>14.117647058823529</v>
      </c>
      <c r="C64" s="13">
        <v>16.67820069204152</v>
      </c>
      <c r="D64" s="13">
        <v>23.460207612456745</v>
      </c>
      <c r="E64" s="13">
        <v>25.259515570934255</v>
      </c>
      <c r="F64" s="13">
        <v>11.280276816608996</v>
      </c>
      <c r="G64" s="13">
        <v>4.913494809688582</v>
      </c>
      <c r="H64" s="13">
        <v>3.667820069204152</v>
      </c>
      <c r="I64" s="13">
        <v>0.6228373702422145</v>
      </c>
      <c r="J64" s="14">
        <v>100</v>
      </c>
    </row>
    <row r="65" spans="1:10" ht="15">
      <c r="A65" s="3" t="s">
        <v>8</v>
      </c>
      <c r="B65" s="13">
        <v>4.918032786885246</v>
      </c>
      <c r="C65" s="13">
        <v>8.378870673952642</v>
      </c>
      <c r="D65" s="13">
        <v>12.021857923497267</v>
      </c>
      <c r="E65" s="13">
        <v>22.040072859744992</v>
      </c>
      <c r="F65" s="13">
        <v>24.043715846994534</v>
      </c>
      <c r="G65" s="13">
        <v>15.664845173041893</v>
      </c>
      <c r="H65" s="13">
        <v>11.293260473588344</v>
      </c>
      <c r="I65" s="13">
        <v>1.639344262295082</v>
      </c>
      <c r="J65" s="14">
        <v>100</v>
      </c>
    </row>
    <row r="66" spans="1:10" ht="15">
      <c r="A66" s="3" t="s">
        <v>9</v>
      </c>
      <c r="B66" s="13">
        <v>16.772688719253605</v>
      </c>
      <c r="C66" s="13">
        <v>13.973706530958442</v>
      </c>
      <c r="D66" s="13">
        <v>19.698897370653096</v>
      </c>
      <c r="E66" s="13">
        <v>26.484308736217134</v>
      </c>
      <c r="F66" s="13">
        <v>14.100932994062765</v>
      </c>
      <c r="G66" s="13">
        <v>6.403731976251061</v>
      </c>
      <c r="H66" s="13">
        <v>2.3324851569126377</v>
      </c>
      <c r="I66" s="13">
        <v>0.23324851569126379</v>
      </c>
      <c r="J66" s="14">
        <v>100</v>
      </c>
    </row>
    <row r="67" spans="1:10" ht="15">
      <c r="A67" s="3" t="s">
        <v>10</v>
      </c>
      <c r="B67" s="13">
        <v>12.804878048780488</v>
      </c>
      <c r="C67" s="13">
        <v>9.75609756097561</v>
      </c>
      <c r="D67" s="13">
        <v>19.054878048780488</v>
      </c>
      <c r="E67" s="13">
        <v>28.506097560975608</v>
      </c>
      <c r="F67" s="13">
        <v>16.158536585365855</v>
      </c>
      <c r="G67" s="13">
        <v>9.146341463414634</v>
      </c>
      <c r="H67" s="13">
        <v>4.115853658536586</v>
      </c>
      <c r="I67" s="13">
        <v>0.45731707317073167</v>
      </c>
      <c r="J67" s="14">
        <v>100</v>
      </c>
    </row>
    <row r="68" spans="1:10" ht="15">
      <c r="A68" s="3" t="s">
        <v>11</v>
      </c>
      <c r="B68" s="13">
        <v>3.6326250856751203</v>
      </c>
      <c r="C68" s="13">
        <v>5.414667580534613</v>
      </c>
      <c r="D68" s="13">
        <v>13.365318711446195</v>
      </c>
      <c r="E68" s="13">
        <v>15.901302261823167</v>
      </c>
      <c r="F68" s="13">
        <v>30.568882796435915</v>
      </c>
      <c r="G68" s="13">
        <v>16.449623029472242</v>
      </c>
      <c r="H68" s="13">
        <v>10.89787525702536</v>
      </c>
      <c r="I68" s="13">
        <v>3.7697052775873887</v>
      </c>
      <c r="J68" s="14">
        <v>100</v>
      </c>
    </row>
    <row r="69" spans="1:10" ht="15">
      <c r="A69" s="3" t="s">
        <v>12</v>
      </c>
      <c r="B69" s="13">
        <v>15.780445969125214</v>
      </c>
      <c r="C69" s="13">
        <v>10.4631217838765</v>
      </c>
      <c r="D69" s="13">
        <v>19.210977701543737</v>
      </c>
      <c r="E69" s="13">
        <v>33.533447684391085</v>
      </c>
      <c r="F69" s="13">
        <v>16.20926243567753</v>
      </c>
      <c r="G69" s="13">
        <v>2.4871355060034306</v>
      </c>
      <c r="H69" s="13">
        <v>2.144082332761578</v>
      </c>
      <c r="I69" s="13">
        <v>0.17152658662092624</v>
      </c>
      <c r="J69" s="14">
        <v>100</v>
      </c>
    </row>
    <row r="70" spans="1:10" ht="15">
      <c r="A70" s="3" t="s">
        <v>13</v>
      </c>
      <c r="B70" s="13">
        <v>7.6074972436604185</v>
      </c>
      <c r="C70" s="13">
        <v>11.907386990077178</v>
      </c>
      <c r="D70" s="13">
        <v>32.08379272326351</v>
      </c>
      <c r="E70" s="13">
        <v>23.92502756339581</v>
      </c>
      <c r="F70" s="13">
        <v>13.120176405733186</v>
      </c>
      <c r="G70" s="13">
        <v>7.166482910694598</v>
      </c>
      <c r="H70" s="13">
        <v>3.528114663726571</v>
      </c>
      <c r="I70" s="13">
        <v>0.6615214994487321</v>
      </c>
      <c r="J70" s="14">
        <v>100</v>
      </c>
    </row>
    <row r="71" spans="1:10" ht="15">
      <c r="A71" s="3" t="s">
        <v>14</v>
      </c>
      <c r="B71" s="13">
        <v>2.7095681625740897</v>
      </c>
      <c r="C71" s="13">
        <v>14.563928873835733</v>
      </c>
      <c r="D71" s="13">
        <v>29.635901778154107</v>
      </c>
      <c r="E71" s="13">
        <v>24.89415749364945</v>
      </c>
      <c r="F71" s="13">
        <v>17.442845046570703</v>
      </c>
      <c r="G71" s="13">
        <v>5.58848433530906</v>
      </c>
      <c r="H71" s="13">
        <v>4.233700254022015</v>
      </c>
      <c r="I71" s="13">
        <v>0.9314140558848433</v>
      </c>
      <c r="J71" s="14">
        <v>100</v>
      </c>
    </row>
    <row r="72" spans="1:10" ht="15">
      <c r="A72" s="3" t="s">
        <v>15</v>
      </c>
      <c r="B72" s="13">
        <v>6.4758009543285615</v>
      </c>
      <c r="C72" s="13">
        <v>9.372869802317656</v>
      </c>
      <c r="D72" s="13">
        <v>23.824130879345603</v>
      </c>
      <c r="E72" s="13">
        <v>39.263803680981596</v>
      </c>
      <c r="F72" s="13">
        <v>16.155419222903884</v>
      </c>
      <c r="G72" s="13">
        <v>3.851397409679618</v>
      </c>
      <c r="H72" s="13">
        <v>0.7498295841854125</v>
      </c>
      <c r="I72" s="13">
        <v>0.3067484662576687</v>
      </c>
      <c r="J72" s="14">
        <v>100</v>
      </c>
    </row>
    <row r="73" spans="1:10" ht="15">
      <c r="A73" s="3" t="s">
        <v>16</v>
      </c>
      <c r="B73" s="13">
        <v>18.386061439706555</v>
      </c>
      <c r="C73" s="13">
        <v>11.623108665749655</v>
      </c>
      <c r="D73" s="13">
        <v>20.861989912884</v>
      </c>
      <c r="E73" s="13">
        <v>30.444750114626316</v>
      </c>
      <c r="F73" s="13">
        <v>11.485557083906466</v>
      </c>
      <c r="G73" s="13">
        <v>4.837230628152224</v>
      </c>
      <c r="H73" s="13">
        <v>2.017423200366804</v>
      </c>
      <c r="I73" s="13">
        <v>0.34387895460797796</v>
      </c>
      <c r="J73" s="14">
        <v>100</v>
      </c>
    </row>
    <row r="74" spans="1:10" ht="15">
      <c r="A74" s="3" t="s">
        <v>17</v>
      </c>
      <c r="B74" s="13">
        <v>9.968847352024921</v>
      </c>
      <c r="C74" s="13">
        <v>7.476635514018691</v>
      </c>
      <c r="D74" s="13">
        <v>23.364485981308412</v>
      </c>
      <c r="E74" s="13">
        <v>27.41433021806853</v>
      </c>
      <c r="F74" s="13">
        <v>19.314641744548286</v>
      </c>
      <c r="G74" s="13">
        <v>8.722741433021806</v>
      </c>
      <c r="H74" s="13">
        <v>2.803738317757009</v>
      </c>
      <c r="I74" s="13">
        <v>0.9345794392523363</v>
      </c>
      <c r="J74" s="14">
        <v>100</v>
      </c>
    </row>
    <row r="75" spans="1:10" ht="15">
      <c r="A75" s="7" t="s">
        <v>20</v>
      </c>
      <c r="B75" s="14">
        <v>12.625776503515599</v>
      </c>
      <c r="C75" s="14">
        <v>11.557444194142946</v>
      </c>
      <c r="D75" s="14">
        <v>30.362823400914742</v>
      </c>
      <c r="E75" s="14">
        <v>23.948051061505904</v>
      </c>
      <c r="F75" s="14">
        <v>12.32063622090245</v>
      </c>
      <c r="G75" s="14">
        <v>4.933783876032494</v>
      </c>
      <c r="H75" s="14">
        <v>2.9909891460167928</v>
      </c>
      <c r="I75" s="14">
        <v>1.2604955969690765</v>
      </c>
      <c r="J75" s="14">
        <v>100</v>
      </c>
    </row>
    <row r="76" spans="1:10" ht="12.75">
      <c r="A76" s="8" t="s">
        <v>19</v>
      </c>
      <c r="B76" s="8"/>
      <c r="D76" s="9"/>
      <c r="E76" s="9"/>
      <c r="F76" s="9"/>
      <c r="G76" s="9"/>
      <c r="H76" s="9"/>
      <c r="I76" s="9"/>
      <c r="J76" s="10" t="s">
        <v>18</v>
      </c>
    </row>
    <row r="77" spans="4:10" ht="12.75">
      <c r="D77" s="9"/>
      <c r="E77" s="9"/>
      <c r="F77" s="9"/>
      <c r="G77" s="9"/>
      <c r="H77" s="9"/>
      <c r="I77" s="9"/>
      <c r="J77" s="10" t="s">
        <v>31</v>
      </c>
    </row>
    <row r="142" spans="12:19" ht="15.75">
      <c r="L142" s="32"/>
      <c r="M142" s="33"/>
      <c r="N142" s="33"/>
      <c r="O142" s="33"/>
      <c r="P142" s="33"/>
      <c r="Q142" s="33"/>
      <c r="R142" s="33"/>
      <c r="S142" s="33"/>
    </row>
    <row r="143" spans="12:19" ht="15">
      <c r="L143" s="258"/>
      <c r="M143" s="253"/>
      <c r="N143" s="248"/>
      <c r="O143" s="248"/>
      <c r="P143" s="248"/>
      <c r="Q143" s="248"/>
      <c r="R143" s="248"/>
      <c r="S143" s="253"/>
    </row>
    <row r="144" spans="12:19" ht="12.75">
      <c r="L144" s="258"/>
      <c r="M144" s="253"/>
      <c r="N144" s="253"/>
      <c r="O144" s="253"/>
      <c r="P144" s="253"/>
      <c r="Q144" s="253"/>
      <c r="R144" s="253"/>
      <c r="S144" s="253"/>
    </row>
    <row r="145" spans="12:19" ht="12.75">
      <c r="L145" s="258"/>
      <c r="M145" s="253"/>
      <c r="N145" s="253"/>
      <c r="O145" s="253"/>
      <c r="P145" s="253"/>
      <c r="Q145" s="253"/>
      <c r="R145" s="253"/>
      <c r="S145" s="253"/>
    </row>
    <row r="146" spans="12:19" ht="15">
      <c r="L146" s="36"/>
      <c r="M146" s="37"/>
      <c r="N146" s="37"/>
      <c r="O146" s="37"/>
      <c r="P146" s="37"/>
      <c r="Q146" s="37"/>
      <c r="R146" s="37"/>
      <c r="S146" s="38"/>
    </row>
    <row r="147" spans="12:19" ht="15">
      <c r="L147" s="36"/>
      <c r="M147" s="37"/>
      <c r="N147" s="37"/>
      <c r="O147" s="37"/>
      <c r="P147" s="37"/>
      <c r="Q147" s="37"/>
      <c r="R147" s="37"/>
      <c r="S147" s="38"/>
    </row>
    <row r="148" spans="12:19" ht="15">
      <c r="L148" s="36"/>
      <c r="M148" s="37"/>
      <c r="N148" s="37"/>
      <c r="O148" s="37"/>
      <c r="P148" s="37"/>
      <c r="Q148" s="37"/>
      <c r="R148" s="37"/>
      <c r="S148" s="38"/>
    </row>
    <row r="149" spans="12:19" ht="15">
      <c r="L149" s="36"/>
      <c r="M149" s="37"/>
      <c r="N149" s="37"/>
      <c r="O149" s="37"/>
      <c r="P149" s="37"/>
      <c r="Q149" s="37"/>
      <c r="R149" s="37"/>
      <c r="S149" s="38"/>
    </row>
    <row r="150" spans="12:19" ht="15">
      <c r="L150" s="36"/>
      <c r="M150" s="37"/>
      <c r="N150" s="37"/>
      <c r="O150" s="37"/>
      <c r="P150" s="37"/>
      <c r="Q150" s="37"/>
      <c r="R150" s="37"/>
      <c r="S150" s="38"/>
    </row>
    <row r="151" spans="12:19" ht="15">
      <c r="L151" s="36"/>
      <c r="M151" s="37"/>
      <c r="N151" s="37"/>
      <c r="O151" s="37"/>
      <c r="P151" s="37"/>
      <c r="Q151" s="37"/>
      <c r="R151" s="37"/>
      <c r="S151" s="38"/>
    </row>
    <row r="152" spans="12:19" ht="15">
      <c r="L152" s="36"/>
      <c r="M152" s="37"/>
      <c r="N152" s="37"/>
      <c r="O152" s="37"/>
      <c r="P152" s="37"/>
      <c r="Q152" s="37"/>
      <c r="R152" s="37"/>
      <c r="S152" s="38"/>
    </row>
    <row r="153" spans="12:19" ht="15">
      <c r="L153" s="36"/>
      <c r="M153" s="37"/>
      <c r="N153" s="37"/>
      <c r="O153" s="37"/>
      <c r="P153" s="37"/>
      <c r="Q153" s="37"/>
      <c r="R153" s="37"/>
      <c r="S153" s="38"/>
    </row>
    <row r="154" spans="12:19" ht="15">
      <c r="L154" s="39"/>
      <c r="M154" s="38"/>
      <c r="N154" s="38"/>
      <c r="O154" s="38"/>
      <c r="P154" s="38"/>
      <c r="Q154" s="38"/>
      <c r="R154" s="38"/>
      <c r="S154" s="38"/>
    </row>
    <row r="155" spans="12:19" ht="12.75">
      <c r="L155" s="8"/>
      <c r="M155" s="33"/>
      <c r="N155" s="33"/>
      <c r="O155" s="33"/>
      <c r="P155" s="33"/>
      <c r="Q155" s="33"/>
      <c r="R155" s="33"/>
      <c r="S155" s="10"/>
    </row>
    <row r="156" spans="12:19" ht="12.75">
      <c r="L156" s="33"/>
      <c r="M156" s="33"/>
      <c r="N156" s="33"/>
      <c r="O156" s="33"/>
      <c r="P156" s="33"/>
      <c r="Q156" s="33"/>
      <c r="R156" s="33"/>
      <c r="S156" s="10"/>
    </row>
    <row r="157" spans="12:19" ht="12.75">
      <c r="L157" s="33"/>
      <c r="M157" s="33"/>
      <c r="N157" s="33"/>
      <c r="O157" s="33"/>
      <c r="P157" s="33"/>
      <c r="Q157" s="33"/>
      <c r="R157" s="33"/>
      <c r="S157" s="33"/>
    </row>
    <row r="158" spans="12:19" ht="15.75">
      <c r="L158" s="32"/>
      <c r="M158" s="33"/>
      <c r="N158" s="33"/>
      <c r="O158" s="33"/>
      <c r="P158" s="33"/>
      <c r="Q158" s="33"/>
      <c r="R158" s="33"/>
      <c r="S158" s="33"/>
    </row>
    <row r="159" spans="12:19" ht="15">
      <c r="L159" s="34"/>
      <c r="M159" s="33"/>
      <c r="N159" s="248"/>
      <c r="O159" s="248"/>
      <c r="P159" s="248"/>
      <c r="Q159" s="248"/>
      <c r="R159" s="248"/>
      <c r="S159" s="33"/>
    </row>
    <row r="160" spans="12:19" ht="15">
      <c r="L160" s="34"/>
      <c r="M160" s="35"/>
      <c r="N160" s="33"/>
      <c r="O160" s="33"/>
      <c r="P160" s="33"/>
      <c r="Q160" s="33"/>
      <c r="R160" s="33"/>
      <c r="S160" s="35"/>
    </row>
    <row r="161" spans="12:19" ht="15">
      <c r="L161" s="34"/>
      <c r="M161" s="35"/>
      <c r="N161" s="35"/>
      <c r="O161" s="35"/>
      <c r="P161" s="35"/>
      <c r="Q161" s="35"/>
      <c r="R161" s="35"/>
      <c r="S161" s="35"/>
    </row>
    <row r="162" spans="12:19" ht="15">
      <c r="L162" s="36"/>
      <c r="M162" s="37"/>
      <c r="N162" s="37"/>
      <c r="O162" s="37"/>
      <c r="P162" s="37"/>
      <c r="Q162" s="37"/>
      <c r="R162" s="37"/>
      <c r="S162" s="38"/>
    </row>
    <row r="163" spans="12:19" ht="15">
      <c r="L163" s="36"/>
      <c r="M163" s="37"/>
      <c r="N163" s="37"/>
      <c r="O163" s="37"/>
      <c r="P163" s="37"/>
      <c r="Q163" s="37"/>
      <c r="R163" s="37"/>
      <c r="S163" s="38"/>
    </row>
    <row r="164" spans="12:19" ht="15">
      <c r="L164" s="36"/>
      <c r="M164" s="37"/>
      <c r="N164" s="37"/>
      <c r="O164" s="37"/>
      <c r="P164" s="37"/>
      <c r="Q164" s="37"/>
      <c r="R164" s="37"/>
      <c r="S164" s="38"/>
    </row>
    <row r="165" spans="12:19" ht="15">
      <c r="L165" s="36"/>
      <c r="M165" s="37"/>
      <c r="N165" s="37"/>
      <c r="O165" s="37"/>
      <c r="P165" s="37"/>
      <c r="Q165" s="37"/>
      <c r="R165" s="37"/>
      <c r="S165" s="38"/>
    </row>
    <row r="166" spans="12:19" ht="15">
      <c r="L166" s="36"/>
      <c r="M166" s="37"/>
      <c r="N166" s="37"/>
      <c r="O166" s="37"/>
      <c r="P166" s="37"/>
      <c r="Q166" s="37"/>
      <c r="R166" s="37"/>
      <c r="S166" s="38"/>
    </row>
    <row r="167" spans="12:19" ht="15">
      <c r="L167" s="36"/>
      <c r="M167" s="37"/>
      <c r="N167" s="37"/>
      <c r="O167" s="37"/>
      <c r="P167" s="37"/>
      <c r="Q167" s="37"/>
      <c r="R167" s="37"/>
      <c r="S167" s="38"/>
    </row>
    <row r="168" spans="12:19" ht="15">
      <c r="L168" s="36"/>
      <c r="M168" s="37"/>
      <c r="N168" s="37"/>
      <c r="O168" s="37"/>
      <c r="P168" s="37"/>
      <c r="Q168" s="37"/>
      <c r="R168" s="37"/>
      <c r="S168" s="38"/>
    </row>
    <row r="169" spans="12:19" ht="15">
      <c r="L169" s="36"/>
      <c r="M169" s="37"/>
      <c r="N169" s="37"/>
      <c r="O169" s="37"/>
      <c r="P169" s="37"/>
      <c r="Q169" s="37"/>
      <c r="R169" s="37"/>
      <c r="S169" s="38"/>
    </row>
    <row r="170" spans="12:19" ht="15">
      <c r="L170" s="39"/>
      <c r="M170" s="38"/>
      <c r="N170" s="38"/>
      <c r="O170" s="38"/>
      <c r="P170" s="38"/>
      <c r="Q170" s="38"/>
      <c r="R170" s="38"/>
      <c r="S170" s="38"/>
    </row>
    <row r="171" spans="12:19" ht="12.75">
      <c r="L171" s="8"/>
      <c r="M171" s="33"/>
      <c r="N171" s="33"/>
      <c r="O171" s="33"/>
      <c r="P171" s="33"/>
      <c r="Q171" s="33"/>
      <c r="R171" s="33"/>
      <c r="S171" s="10"/>
    </row>
    <row r="172" spans="12:19" ht="12.75">
      <c r="L172" s="33"/>
      <c r="M172" s="33"/>
      <c r="N172" s="33"/>
      <c r="O172" s="33"/>
      <c r="P172" s="33"/>
      <c r="Q172" s="33"/>
      <c r="R172" s="33"/>
      <c r="S172" s="10"/>
    </row>
  </sheetData>
  <sheetProtection/>
  <mergeCells count="49">
    <mergeCell ref="B2:J2"/>
    <mergeCell ref="A2:A3"/>
    <mergeCell ref="U2:U3"/>
    <mergeCell ref="U26:U27"/>
    <mergeCell ref="A28:A29"/>
    <mergeCell ref="B28:J28"/>
    <mergeCell ref="B54:J54"/>
    <mergeCell ref="L143:L145"/>
    <mergeCell ref="AB26:AB27"/>
    <mergeCell ref="W26:AA26"/>
    <mergeCell ref="M143:M145"/>
    <mergeCell ref="N144:N145"/>
    <mergeCell ref="S143:S145"/>
    <mergeCell ref="N143:R143"/>
    <mergeCell ref="O144:O145"/>
    <mergeCell ref="P144:P145"/>
    <mergeCell ref="Q144:Q145"/>
    <mergeCell ref="N159:R159"/>
    <mergeCell ref="N2:R2"/>
    <mergeCell ref="S2:S3"/>
    <mergeCell ref="L2:L3"/>
    <mergeCell ref="L16:L17"/>
    <mergeCell ref="N16:R16"/>
    <mergeCell ref="S16:S17"/>
    <mergeCell ref="N30:R30"/>
    <mergeCell ref="S30:S31"/>
    <mergeCell ref="R144:R145"/>
    <mergeCell ref="AF18:AG18"/>
    <mergeCell ref="AE19:AE20"/>
    <mergeCell ref="AF19:AF20"/>
    <mergeCell ref="AG19:AG20"/>
    <mergeCell ref="AD2:AD3"/>
    <mergeCell ref="W2:AA2"/>
    <mergeCell ref="AB2:AB3"/>
    <mergeCell ref="W14:AA14"/>
    <mergeCell ref="AB14:AB15"/>
    <mergeCell ref="AK2:AK3"/>
    <mergeCell ref="AE3:AE4"/>
    <mergeCell ref="AF3:AF4"/>
    <mergeCell ref="AG3:AG4"/>
    <mergeCell ref="AF2:AG2"/>
    <mergeCell ref="AH2:AH4"/>
    <mergeCell ref="AH19:AH20"/>
    <mergeCell ref="AD34:AD35"/>
    <mergeCell ref="AF34:AG34"/>
    <mergeCell ref="AH34:AH36"/>
    <mergeCell ref="AE35:AE36"/>
    <mergeCell ref="AF35:AF36"/>
    <mergeCell ref="AG35:AG36"/>
  </mergeCells>
  <printOptions/>
  <pageMargins left="0.25" right="0.25" top="0.25" bottom="0.41" header="0.25" footer="0.25"/>
  <pageSetup horizontalDpi="300" verticalDpi="300" orientation="landscape" paperSize="9" scale="71" r:id="rId2"/>
  <headerFooter alignWithMargins="0">
    <oddFooter>&amp;L2011 Census Detailed Characteristics - Cultural Characteristics - &amp;A &amp;R&amp;P</oddFooter>
  </headerFooter>
  <rowBreaks count="1" manualBreakCount="1">
    <brk id="51" max="33" man="1"/>
  </rowBreaks>
  <colBreaks count="3" manualBreakCount="3">
    <brk id="11" max="105" man="1"/>
    <brk id="20" max="105" man="1"/>
    <brk id="28" max="10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49"/>
  <sheetViews>
    <sheetView zoomScalePageLayoutView="0" workbookViewId="0" topLeftCell="DE16">
      <selection activeCell="DQ49" sqref="DQ49"/>
    </sheetView>
  </sheetViews>
  <sheetFormatPr defaultColWidth="9.140625" defaultRowHeight="12.75"/>
  <cols>
    <col min="1" max="1" width="22.7109375" style="0" customWidth="1"/>
    <col min="2" max="2" width="20.7109375" style="0" customWidth="1"/>
    <col min="3" max="3" width="19.140625" style="0" customWidth="1"/>
    <col min="4" max="4" width="21.421875" style="0" customWidth="1"/>
    <col min="5" max="5" width="22.00390625" style="0" customWidth="1"/>
    <col min="6" max="6" width="22.421875" style="0" customWidth="1"/>
    <col min="7" max="7" width="21.421875" style="0" customWidth="1"/>
    <col min="8" max="8" width="19.8515625" style="0" customWidth="1"/>
    <col min="9" max="9" width="18.8515625" style="0" customWidth="1"/>
    <col min="10" max="10" width="19.57421875" style="0" customWidth="1"/>
    <col min="11" max="11" width="19.28125" style="0" customWidth="1"/>
    <col min="12" max="12" width="1.421875" style="0" customWidth="1"/>
    <col min="13" max="13" width="66.8515625" style="0" customWidth="1"/>
    <col min="14" max="14" width="12.00390625" style="0" customWidth="1"/>
    <col min="15" max="15" width="12.140625" style="0" customWidth="1"/>
    <col min="16" max="16" width="13.00390625" style="0" customWidth="1"/>
    <col min="17" max="17" width="13.140625" style="0" customWidth="1"/>
    <col min="18" max="18" width="16.8515625" style="0" customWidth="1"/>
    <col min="19" max="19" width="15.57421875" style="0" customWidth="1"/>
    <col min="20" max="20" width="17.421875" style="0" customWidth="1"/>
    <col min="21" max="21" width="17.28125" style="0" customWidth="1"/>
    <col min="22" max="22" width="19.28125" style="0" customWidth="1"/>
    <col min="23" max="23" width="17.00390625" style="0" customWidth="1"/>
    <col min="24" max="24" width="2.28125" style="0" customWidth="1"/>
    <col min="25" max="25" width="66.8515625" style="0" customWidth="1"/>
    <col min="26" max="26" width="13.421875" style="0" customWidth="1"/>
    <col min="27" max="27" width="13.28125" style="0" customWidth="1"/>
    <col min="28" max="28" width="14.7109375" style="0" customWidth="1"/>
    <col min="29" max="29" width="13.28125" style="0" customWidth="1"/>
    <col min="30" max="30" width="16.28125" style="0" customWidth="1"/>
    <col min="31" max="31" width="17.00390625" style="0" customWidth="1"/>
    <col min="32" max="32" width="17.28125" style="0" customWidth="1"/>
    <col min="33" max="33" width="15.28125" style="0" customWidth="1"/>
    <col min="34" max="34" width="22.8515625" style="0" customWidth="1"/>
    <col min="35" max="35" width="17.00390625" style="0" customWidth="1"/>
    <col min="36" max="36" width="2.57421875" style="0" customWidth="1"/>
    <col min="37" max="37" width="72.28125" style="0" customWidth="1"/>
    <col min="38" max="38" width="13.8515625" style="0" customWidth="1"/>
    <col min="39" max="39" width="11.7109375" style="0" customWidth="1"/>
    <col min="40" max="40" width="11.00390625" style="0" customWidth="1"/>
    <col min="41" max="41" width="11.57421875" style="0" customWidth="1"/>
    <col min="42" max="42" width="10.8515625" style="0" customWidth="1"/>
    <col min="43" max="43" width="14.57421875" style="0" customWidth="1"/>
    <col min="44" max="44" width="19.00390625" style="0" customWidth="1"/>
    <col min="45" max="45" width="20.57421875" style="0" customWidth="1"/>
    <col min="46" max="46" width="22.57421875" style="0" customWidth="1"/>
    <col min="47" max="47" width="16.8515625" style="0" customWidth="1"/>
    <col min="48" max="48" width="2.421875" style="0" customWidth="1"/>
    <col min="49" max="49" width="72.57421875" style="0" customWidth="1"/>
    <col min="50" max="50" width="13.421875" style="0" customWidth="1"/>
    <col min="51" max="51" width="16.00390625" style="0" customWidth="1"/>
    <col min="52" max="52" width="12.00390625" style="0" customWidth="1"/>
    <col min="53" max="53" width="13.57421875" style="0" customWidth="1"/>
    <col min="54" max="54" width="11.140625" style="0" customWidth="1"/>
    <col min="55" max="55" width="15.00390625" style="0" customWidth="1"/>
    <col min="56" max="56" width="19.00390625" style="0" customWidth="1"/>
    <col min="57" max="57" width="15.00390625" style="0" customWidth="1"/>
    <col min="58" max="58" width="22.28125" style="0" customWidth="1"/>
    <col min="59" max="59" width="14.7109375" style="0" customWidth="1"/>
    <col min="60" max="60" width="1.57421875" style="0" customWidth="1"/>
    <col min="61" max="61" width="69.8515625" style="0" customWidth="1"/>
    <col min="62" max="62" width="14.140625" style="0" customWidth="1"/>
    <col min="63" max="63" width="15.00390625" style="0" customWidth="1"/>
    <col min="64" max="64" width="13.57421875" style="0" customWidth="1"/>
    <col min="65" max="65" width="13.140625" style="0" customWidth="1"/>
    <col min="66" max="66" width="16.00390625" style="0" customWidth="1"/>
    <col min="67" max="67" width="13.00390625" style="0" customWidth="1"/>
    <col min="68" max="68" width="17.00390625" style="0" customWidth="1"/>
    <col min="69" max="69" width="17.421875" style="0" customWidth="1"/>
    <col min="70" max="70" width="20.7109375" style="0" customWidth="1"/>
    <col min="71" max="71" width="16.140625" style="0" customWidth="1"/>
    <col min="97" max="97" width="2.00390625" style="0" customWidth="1"/>
    <col min="98" max="98" width="44.7109375" style="0" customWidth="1"/>
    <col min="99" max="99" width="18.28125" style="0" customWidth="1"/>
    <col min="100" max="100" width="16.140625" style="0" customWidth="1"/>
    <col min="101" max="101" width="13.00390625" style="0" customWidth="1"/>
    <col min="102" max="102" width="16.140625" style="0" customWidth="1"/>
    <col min="103" max="103" width="13.140625" style="0" customWidth="1"/>
    <col min="104" max="104" width="19.00390625" style="0" customWidth="1"/>
    <col min="105" max="105" width="20.00390625" style="0" customWidth="1"/>
    <col min="106" max="106" width="22.140625" style="0" customWidth="1"/>
    <col min="107" max="107" width="25.57421875" style="0" customWidth="1"/>
    <col min="108" max="108" width="17.7109375" style="0" customWidth="1"/>
    <col min="109" max="109" width="1.8515625" style="0" customWidth="1"/>
    <col min="110" max="110" width="47.421875" style="0" customWidth="1"/>
    <col min="111" max="111" width="16.421875" style="0" customWidth="1"/>
    <col min="112" max="112" width="15.7109375" style="0" customWidth="1"/>
    <col min="113" max="113" width="15.00390625" style="0" customWidth="1"/>
    <col min="114" max="114" width="16.8515625" style="0" customWidth="1"/>
    <col min="115" max="115" width="15.140625" style="0" customWidth="1"/>
    <col min="116" max="116" width="21.140625" style="0" customWidth="1"/>
    <col min="117" max="117" width="18.28125" style="0" customWidth="1"/>
    <col min="118" max="118" width="18.421875" style="0" customWidth="1"/>
    <col min="119" max="119" width="25.140625" style="0" customWidth="1"/>
    <col min="120" max="120" width="16.00390625" style="0" customWidth="1"/>
  </cols>
  <sheetData>
    <row r="1" spans="1:120" ht="15" customHeight="1">
      <c r="A1" s="56" t="s">
        <v>190</v>
      </c>
      <c r="B1" s="97"/>
      <c r="C1" s="97"/>
      <c r="D1" s="97"/>
      <c r="E1" s="97"/>
      <c r="F1" s="97"/>
      <c r="G1" s="97"/>
      <c r="H1" s="97"/>
      <c r="I1" s="97"/>
      <c r="J1" s="97"/>
      <c r="K1" s="111"/>
      <c r="M1" s="56" t="s">
        <v>195</v>
      </c>
      <c r="N1" s="97"/>
      <c r="O1" s="97"/>
      <c r="P1" s="97"/>
      <c r="Q1" s="97"/>
      <c r="R1" s="97"/>
      <c r="S1" s="97"/>
      <c r="T1" s="97"/>
      <c r="U1" s="97"/>
      <c r="V1" s="97"/>
      <c r="W1" s="111"/>
      <c r="Y1" s="56" t="s">
        <v>216</v>
      </c>
      <c r="Z1" s="97"/>
      <c r="AA1" s="97"/>
      <c r="AB1" s="97"/>
      <c r="AC1" s="97"/>
      <c r="AD1" s="97"/>
      <c r="AE1" s="97"/>
      <c r="AF1" s="97"/>
      <c r="AG1" s="97"/>
      <c r="AH1" s="97"/>
      <c r="AI1" s="111"/>
      <c r="BI1" s="56" t="s">
        <v>238</v>
      </c>
      <c r="BJ1" s="97"/>
      <c r="BK1" s="97"/>
      <c r="BL1" s="97"/>
      <c r="BM1" s="97"/>
      <c r="BN1" s="97"/>
      <c r="BO1" s="97"/>
      <c r="BP1" s="97"/>
      <c r="BQ1" s="97"/>
      <c r="BR1" s="97"/>
      <c r="BS1" s="111"/>
      <c r="CT1" s="56" t="s">
        <v>241</v>
      </c>
      <c r="CU1" s="59"/>
      <c r="CV1" s="59"/>
      <c r="CW1" s="59"/>
      <c r="CX1" s="59"/>
      <c r="CY1" s="59"/>
      <c r="CZ1" s="59"/>
      <c r="DA1" s="59"/>
      <c r="DB1" s="59"/>
      <c r="DC1" s="59"/>
      <c r="DD1" s="59"/>
      <c r="DF1" s="56" t="s">
        <v>253</v>
      </c>
      <c r="DG1" s="59"/>
      <c r="DH1" s="59"/>
      <c r="DI1" s="59"/>
      <c r="DJ1" s="59"/>
      <c r="DK1" s="59"/>
      <c r="DL1" s="59"/>
      <c r="DM1" s="59"/>
      <c r="DN1" s="59"/>
      <c r="DO1" s="59"/>
      <c r="DP1" s="59"/>
    </row>
    <row r="2" spans="1:120" ht="15" customHeight="1">
      <c r="A2" s="254" t="s">
        <v>191</v>
      </c>
      <c r="B2" s="256" t="s">
        <v>28</v>
      </c>
      <c r="C2" s="256"/>
      <c r="D2" s="256"/>
      <c r="E2" s="256"/>
      <c r="F2" s="256"/>
      <c r="G2" s="256"/>
      <c r="H2" s="256"/>
      <c r="I2" s="256"/>
      <c r="J2" s="259"/>
      <c r="K2" s="112"/>
      <c r="M2" s="254" t="s">
        <v>196</v>
      </c>
      <c r="N2" s="256" t="s">
        <v>81</v>
      </c>
      <c r="O2" s="256"/>
      <c r="P2" s="256"/>
      <c r="Q2" s="256"/>
      <c r="R2" s="256"/>
      <c r="S2" s="256"/>
      <c r="T2" s="256"/>
      <c r="U2" s="256"/>
      <c r="V2" s="259"/>
      <c r="W2" s="112"/>
      <c r="Y2" s="254" t="s">
        <v>196</v>
      </c>
      <c r="Z2" s="256" t="s">
        <v>81</v>
      </c>
      <c r="AA2" s="256"/>
      <c r="AB2" s="256"/>
      <c r="AC2" s="256"/>
      <c r="AD2" s="256"/>
      <c r="AE2" s="256"/>
      <c r="AF2" s="256"/>
      <c r="AG2" s="256"/>
      <c r="AH2" s="259"/>
      <c r="AI2" s="112"/>
      <c r="BI2" s="17" t="s">
        <v>153</v>
      </c>
      <c r="BJ2" s="263" t="s">
        <v>81</v>
      </c>
      <c r="BK2" s="264"/>
      <c r="BL2" s="264"/>
      <c r="BM2" s="264"/>
      <c r="BN2" s="264"/>
      <c r="BO2" s="264"/>
      <c r="BP2" s="264"/>
      <c r="BQ2" s="264"/>
      <c r="BR2" s="265"/>
      <c r="BS2" s="112"/>
      <c r="CT2" s="254" t="s">
        <v>80</v>
      </c>
      <c r="CU2" s="256" t="s">
        <v>81</v>
      </c>
      <c r="CV2" s="256"/>
      <c r="CW2" s="256"/>
      <c r="CX2" s="256"/>
      <c r="CY2" s="256"/>
      <c r="CZ2" s="256"/>
      <c r="DA2" s="256"/>
      <c r="DB2" s="256"/>
      <c r="DC2" s="259"/>
      <c r="DD2" s="60"/>
      <c r="DF2" s="254" t="s">
        <v>80</v>
      </c>
      <c r="DG2" s="256" t="s">
        <v>81</v>
      </c>
      <c r="DH2" s="256"/>
      <c r="DI2" s="256"/>
      <c r="DJ2" s="256"/>
      <c r="DK2" s="256"/>
      <c r="DL2" s="256"/>
      <c r="DM2" s="256"/>
      <c r="DN2" s="256"/>
      <c r="DO2" s="259"/>
      <c r="DP2" s="60"/>
    </row>
    <row r="3" spans="1:120" ht="15" customHeight="1">
      <c r="A3" s="260"/>
      <c r="B3" s="2" t="s">
        <v>178</v>
      </c>
      <c r="C3" s="108" t="s">
        <v>179</v>
      </c>
      <c r="D3" s="109" t="s">
        <v>180</v>
      </c>
      <c r="E3" s="110" t="s">
        <v>181</v>
      </c>
      <c r="F3" s="2" t="s">
        <v>182</v>
      </c>
      <c r="G3" s="2" t="s">
        <v>183</v>
      </c>
      <c r="H3" s="2" t="s">
        <v>184</v>
      </c>
      <c r="I3" s="2" t="s">
        <v>185</v>
      </c>
      <c r="J3" s="51" t="s">
        <v>186</v>
      </c>
      <c r="K3" s="91" t="s">
        <v>20</v>
      </c>
      <c r="M3" s="260"/>
      <c r="N3" s="113" t="s">
        <v>82</v>
      </c>
      <c r="O3" s="113" t="s">
        <v>83</v>
      </c>
      <c r="P3" s="113" t="s">
        <v>84</v>
      </c>
      <c r="Q3" s="113" t="s">
        <v>85</v>
      </c>
      <c r="R3" s="113" t="s">
        <v>86</v>
      </c>
      <c r="S3" s="113" t="s">
        <v>87</v>
      </c>
      <c r="T3" s="113" t="s">
        <v>197</v>
      </c>
      <c r="U3" s="113" t="s">
        <v>89</v>
      </c>
      <c r="V3" s="118" t="s">
        <v>198</v>
      </c>
      <c r="W3" s="91" t="s">
        <v>20</v>
      </c>
      <c r="Y3" s="260"/>
      <c r="Z3" s="113" t="s">
        <v>82</v>
      </c>
      <c r="AA3" s="113" t="s">
        <v>83</v>
      </c>
      <c r="AB3" s="113" t="s">
        <v>84</v>
      </c>
      <c r="AC3" s="113" t="s">
        <v>85</v>
      </c>
      <c r="AD3" s="113" t="s">
        <v>86</v>
      </c>
      <c r="AE3" s="113" t="s">
        <v>87</v>
      </c>
      <c r="AF3" s="113" t="s">
        <v>197</v>
      </c>
      <c r="AG3" s="113" t="s">
        <v>89</v>
      </c>
      <c r="AH3" s="118" t="s">
        <v>198</v>
      </c>
      <c r="AI3" s="91" t="s">
        <v>20</v>
      </c>
      <c r="BI3" s="126"/>
      <c r="BJ3" s="124" t="s">
        <v>82</v>
      </c>
      <c r="BK3" s="113" t="s">
        <v>83</v>
      </c>
      <c r="BL3" s="113" t="s">
        <v>84</v>
      </c>
      <c r="BM3" s="113" t="s">
        <v>85</v>
      </c>
      <c r="BN3" s="113" t="s">
        <v>86</v>
      </c>
      <c r="BO3" s="113" t="s">
        <v>87</v>
      </c>
      <c r="BP3" s="113" t="s">
        <v>197</v>
      </c>
      <c r="BQ3" s="113" t="s">
        <v>89</v>
      </c>
      <c r="BR3" s="118" t="s">
        <v>198</v>
      </c>
      <c r="BS3" s="91" t="s">
        <v>20</v>
      </c>
      <c r="CT3" s="267"/>
      <c r="CU3" s="136" t="s">
        <v>82</v>
      </c>
      <c r="CV3" s="136" t="s">
        <v>83</v>
      </c>
      <c r="CW3" s="136" t="s">
        <v>84</v>
      </c>
      <c r="CX3" s="136" t="s">
        <v>85</v>
      </c>
      <c r="CY3" s="136" t="s">
        <v>86</v>
      </c>
      <c r="CZ3" s="136" t="s">
        <v>87</v>
      </c>
      <c r="DA3" s="136" t="s">
        <v>88</v>
      </c>
      <c r="DB3" s="136" t="s">
        <v>89</v>
      </c>
      <c r="DC3" s="137" t="s">
        <v>90</v>
      </c>
      <c r="DD3" s="138" t="s">
        <v>20</v>
      </c>
      <c r="DF3" s="267"/>
      <c r="DG3" s="136" t="s">
        <v>82</v>
      </c>
      <c r="DH3" s="136" t="s">
        <v>83</v>
      </c>
      <c r="DI3" s="136" t="s">
        <v>84</v>
      </c>
      <c r="DJ3" s="136" t="s">
        <v>85</v>
      </c>
      <c r="DK3" s="136" t="s">
        <v>86</v>
      </c>
      <c r="DL3" s="136" t="s">
        <v>87</v>
      </c>
      <c r="DM3" s="136" t="s">
        <v>88</v>
      </c>
      <c r="DN3" s="136" t="s">
        <v>89</v>
      </c>
      <c r="DO3" s="137" t="s">
        <v>90</v>
      </c>
      <c r="DP3" s="138" t="s">
        <v>20</v>
      </c>
    </row>
    <row r="4" spans="1:120" ht="15" customHeight="1">
      <c r="A4" s="3" t="s">
        <v>82</v>
      </c>
      <c r="B4" s="4">
        <f>10915+4926+2828</f>
        <v>18669</v>
      </c>
      <c r="C4" s="4">
        <f>6429+1062</f>
        <v>7491</v>
      </c>
      <c r="D4" s="4">
        <f>2140+2401</f>
        <v>4541</v>
      </c>
      <c r="E4" s="4">
        <f>10086+22635</f>
        <v>32721</v>
      </c>
      <c r="F4" s="4">
        <f>21405+15631</f>
        <v>37036</v>
      </c>
      <c r="G4" s="4">
        <f>12212+10195</f>
        <v>22407</v>
      </c>
      <c r="H4" s="4">
        <f>8161+6583</f>
        <v>14744</v>
      </c>
      <c r="I4" s="4">
        <f>6599+4937</f>
        <v>11536</v>
      </c>
      <c r="J4" s="4">
        <f>4497+3573+2660+2715</f>
        <v>13445</v>
      </c>
      <c r="K4" s="65">
        <f>SUM(B4:J4)</f>
        <v>162590</v>
      </c>
      <c r="M4" s="114" t="s">
        <v>199</v>
      </c>
      <c r="N4" s="71">
        <v>27353</v>
      </c>
      <c r="O4" s="71">
        <v>346</v>
      </c>
      <c r="P4" s="71">
        <v>985</v>
      </c>
      <c r="Q4" s="71">
        <v>348</v>
      </c>
      <c r="R4" s="71">
        <v>1322</v>
      </c>
      <c r="S4" s="71">
        <v>154</v>
      </c>
      <c r="T4" s="71">
        <v>172</v>
      </c>
      <c r="U4" s="71">
        <v>17300</v>
      </c>
      <c r="V4" s="71">
        <v>3535</v>
      </c>
      <c r="W4" s="86">
        <f>SUM(N4:V4)</f>
        <v>51515</v>
      </c>
      <c r="Y4" s="114" t="s">
        <v>199</v>
      </c>
      <c r="Z4" s="71">
        <v>27353</v>
      </c>
      <c r="AA4" s="71">
        <v>346</v>
      </c>
      <c r="AB4" s="71">
        <v>985</v>
      </c>
      <c r="AC4" s="71">
        <v>348</v>
      </c>
      <c r="AD4" s="71">
        <v>1322</v>
      </c>
      <c r="AE4" s="71">
        <v>154</v>
      </c>
      <c r="AF4" s="71">
        <v>172</v>
      </c>
      <c r="AG4" s="71">
        <v>17300</v>
      </c>
      <c r="AH4" s="71">
        <v>3535</v>
      </c>
      <c r="AI4" s="86">
        <f>SUM(Z4:AH4)</f>
        <v>51515</v>
      </c>
      <c r="BI4" s="67" t="s">
        <v>220</v>
      </c>
      <c r="BJ4" s="71">
        <v>99925</v>
      </c>
      <c r="BK4" s="71">
        <v>1672</v>
      </c>
      <c r="BL4" s="71">
        <v>3745</v>
      </c>
      <c r="BM4" s="71">
        <v>934</v>
      </c>
      <c r="BN4" s="71">
        <v>9175</v>
      </c>
      <c r="BO4" s="71">
        <v>507</v>
      </c>
      <c r="BP4" s="71">
        <v>874</v>
      </c>
      <c r="BQ4" s="71">
        <v>59827</v>
      </c>
      <c r="BR4" s="71">
        <v>14021</v>
      </c>
      <c r="BS4" s="72">
        <f>BJ4+BR4+BQ4+BP4+BO4+BN4+BM4+BL4+BK4</f>
        <v>190680</v>
      </c>
      <c r="CT4" s="134" t="s">
        <v>91</v>
      </c>
      <c r="CU4" s="4">
        <v>39200</v>
      </c>
      <c r="CV4" s="4">
        <v>764</v>
      </c>
      <c r="CW4" s="4">
        <v>3723</v>
      </c>
      <c r="CX4" s="4">
        <v>406</v>
      </c>
      <c r="CY4" s="4">
        <v>12462</v>
      </c>
      <c r="CZ4" s="4">
        <v>543</v>
      </c>
      <c r="DA4" s="4">
        <v>418</v>
      </c>
      <c r="DB4" s="4">
        <v>19720</v>
      </c>
      <c r="DC4" s="4">
        <v>7012</v>
      </c>
      <c r="DD4" s="65">
        <f>SUM(CU4:DC4)</f>
        <v>84248</v>
      </c>
      <c r="DF4" s="134" t="s">
        <v>91</v>
      </c>
      <c r="DG4" s="11">
        <f>(CU4/DD4)*100</f>
        <v>46.52929446396354</v>
      </c>
      <c r="DH4" s="11">
        <f>(CV4/DD4)*100</f>
        <v>0.9068464533282689</v>
      </c>
      <c r="DI4" s="11">
        <f>(CW4/DD4)*100</f>
        <v>4.4190960022789865</v>
      </c>
      <c r="DJ4" s="11">
        <f>(CX4/DD4)*100</f>
        <v>0.48191054980533665</v>
      </c>
      <c r="DK4" s="11">
        <f>(CY4/DD4)*100</f>
        <v>14.792042541069225</v>
      </c>
      <c r="DL4" s="11">
        <f>(CZ4/DD4)*100</f>
        <v>0.6445256860696991</v>
      </c>
      <c r="DM4" s="11">
        <f>(DA4/DD4)*100</f>
        <v>0.49615421137593774</v>
      </c>
      <c r="DN4" s="11">
        <f>(DB4/DD4)*100</f>
        <v>23.40708384768778</v>
      </c>
      <c r="DO4" s="11">
        <f>(DC4/DD4)*100</f>
        <v>8.323046244421233</v>
      </c>
      <c r="DP4" s="133">
        <f>SUM(DG4:DO4)</f>
        <v>100.00000000000001</v>
      </c>
    </row>
    <row r="5" spans="1:120" ht="15" customHeight="1">
      <c r="A5" s="3" t="s">
        <v>83</v>
      </c>
      <c r="B5" s="4">
        <f>76+28+18</f>
        <v>122</v>
      </c>
      <c r="C5" s="4">
        <f>60+14</f>
        <v>74</v>
      </c>
      <c r="D5" s="4">
        <f>23+37</f>
        <v>60</v>
      </c>
      <c r="E5" s="4">
        <f>185+353</f>
        <v>538</v>
      </c>
      <c r="F5" s="4">
        <f>393+308</f>
        <v>701</v>
      </c>
      <c r="G5" s="4">
        <f>276+167</f>
        <v>443</v>
      </c>
      <c r="H5" s="4">
        <f>173+149</f>
        <v>322</v>
      </c>
      <c r="I5" s="4">
        <f>114+108</f>
        <v>222</v>
      </c>
      <c r="J5" s="4">
        <f>48+20+14+10</f>
        <v>92</v>
      </c>
      <c r="K5" s="61">
        <f aca="true" t="shared" si="0" ref="K5:K13">SUM(B5:J5)</f>
        <v>2574</v>
      </c>
      <c r="M5" s="115" t="s">
        <v>200</v>
      </c>
      <c r="N5" s="4">
        <v>5840</v>
      </c>
      <c r="O5" s="4">
        <v>60</v>
      </c>
      <c r="P5" s="4">
        <v>114</v>
      </c>
      <c r="Q5" s="4">
        <v>73</v>
      </c>
      <c r="R5" s="4">
        <v>177</v>
      </c>
      <c r="S5" s="4">
        <v>22</v>
      </c>
      <c r="T5" s="4">
        <v>22</v>
      </c>
      <c r="U5" s="4">
        <v>2929</v>
      </c>
      <c r="V5" s="4">
        <v>649</v>
      </c>
      <c r="W5" s="5">
        <f aca="true" t="shared" si="1" ref="W5:W18">SUM(N5:V5)</f>
        <v>9886</v>
      </c>
      <c r="Y5" s="115" t="s">
        <v>200</v>
      </c>
      <c r="Z5" s="4">
        <v>5840</v>
      </c>
      <c r="AA5" s="4">
        <v>60</v>
      </c>
      <c r="AB5" s="4">
        <v>114</v>
      </c>
      <c r="AC5" s="4">
        <v>73</v>
      </c>
      <c r="AD5" s="4">
        <v>177</v>
      </c>
      <c r="AE5" s="4">
        <v>22</v>
      </c>
      <c r="AF5" s="4">
        <v>22</v>
      </c>
      <c r="AG5" s="4">
        <v>2929</v>
      </c>
      <c r="AH5" s="4">
        <v>649</v>
      </c>
      <c r="AI5" s="5">
        <f aca="true" t="shared" si="2" ref="AI5:AI18">SUM(Z5:AH5)</f>
        <v>9886</v>
      </c>
      <c r="AW5" s="56" t="s">
        <v>219</v>
      </c>
      <c r="AX5" s="97"/>
      <c r="AY5" s="97"/>
      <c r="AZ5" s="97"/>
      <c r="BA5" s="97"/>
      <c r="BB5" s="97"/>
      <c r="BC5" s="97"/>
      <c r="BD5" s="97"/>
      <c r="BE5" s="97"/>
      <c r="BF5" s="97"/>
      <c r="BG5" s="111"/>
      <c r="BI5" s="68" t="s">
        <v>221</v>
      </c>
      <c r="BJ5" s="69">
        <v>94621</v>
      </c>
      <c r="BK5" s="69">
        <v>1563</v>
      </c>
      <c r="BL5" s="69">
        <v>3468</v>
      </c>
      <c r="BM5" s="69">
        <v>890</v>
      </c>
      <c r="BN5" s="69">
        <v>7622</v>
      </c>
      <c r="BO5" s="69">
        <v>457</v>
      </c>
      <c r="BP5" s="69">
        <v>798</v>
      </c>
      <c r="BQ5" s="69">
        <v>56901</v>
      </c>
      <c r="BR5" s="69">
        <v>13119</v>
      </c>
      <c r="BS5" s="70">
        <f aca="true" t="shared" si="3" ref="BS5:BS21">BJ5+BR5+BQ5+BP5+BO5+BN5+BM5+BL5+BK5</f>
        <v>179439</v>
      </c>
      <c r="CT5" s="134" t="s">
        <v>242</v>
      </c>
      <c r="CU5" s="4">
        <v>63806</v>
      </c>
      <c r="CV5" s="4">
        <v>419</v>
      </c>
      <c r="CW5" s="4">
        <v>608</v>
      </c>
      <c r="CX5" s="4">
        <v>734</v>
      </c>
      <c r="CY5" s="4">
        <v>2672</v>
      </c>
      <c r="CZ5" s="4">
        <v>106</v>
      </c>
      <c r="DA5" s="4">
        <v>427</v>
      </c>
      <c r="DB5" s="4">
        <v>36028</v>
      </c>
      <c r="DC5" s="4">
        <v>9033</v>
      </c>
      <c r="DD5" s="61">
        <f>SUM(CU5:DC5)</f>
        <v>113833</v>
      </c>
      <c r="DF5" s="134" t="s">
        <v>242</v>
      </c>
      <c r="DG5" s="11">
        <f aca="true" t="shared" si="4" ref="DG5:DG18">(CU5/DD5)*100</f>
        <v>56.05228712236347</v>
      </c>
      <c r="DH5" s="11">
        <f aca="true" t="shared" si="5" ref="DH5:DH18">(CV5/DD5)*100</f>
        <v>0.36808306905730326</v>
      </c>
      <c r="DI5" s="11">
        <f aca="true" t="shared" si="6" ref="DI5:DI18">(CW5/DD5)*100</f>
        <v>0.534115766078378</v>
      </c>
      <c r="DJ5" s="11">
        <f aca="true" t="shared" si="7" ref="DJ5:DJ18">(CX5/DD5)*100</f>
        <v>0.6448042307590944</v>
      </c>
      <c r="DK5" s="11">
        <f aca="true" t="shared" si="8" ref="DK5:DK18">(CY5/DD5)*100</f>
        <v>2.347298235133924</v>
      </c>
      <c r="DL5" s="11">
        <f aca="true" t="shared" si="9" ref="DL5:DL18">(CZ5/DD5)*100</f>
        <v>0.09311886711234879</v>
      </c>
      <c r="DM5" s="11">
        <f aca="true" t="shared" si="10" ref="DM5:DM18">(DA5/DD5)*100</f>
        <v>0.37511090808465036</v>
      </c>
      <c r="DN5" s="11">
        <f aca="true" t="shared" si="11" ref="DN5:DN18">(DB5/DD5)*100</f>
        <v>31.64987305965757</v>
      </c>
      <c r="DO5" s="11">
        <f aca="true" t="shared" si="12" ref="DO5:DO18">(DC5/DD5)*100</f>
        <v>7.93530874175327</v>
      </c>
      <c r="DP5" s="133">
        <f aca="true" t="shared" si="13" ref="DP5:DP18">SUM(DG5:DO5)</f>
        <v>100.00000000000001</v>
      </c>
    </row>
    <row r="6" spans="1:120" ht="15" customHeight="1">
      <c r="A6" s="3" t="s">
        <v>84</v>
      </c>
      <c r="B6" s="4">
        <f>336+172+95</f>
        <v>603</v>
      </c>
      <c r="C6" s="4">
        <f>271+57</f>
        <v>328</v>
      </c>
      <c r="D6" s="4">
        <f>111+145</f>
        <v>256</v>
      </c>
      <c r="E6" s="4">
        <f>471+892</f>
        <v>1363</v>
      </c>
      <c r="F6" s="4">
        <f>778+577</f>
        <v>1355</v>
      </c>
      <c r="G6" s="4">
        <f>396+371</f>
        <v>767</v>
      </c>
      <c r="H6" s="4">
        <f>370+362</f>
        <v>732</v>
      </c>
      <c r="I6" s="4">
        <f>318+210</f>
        <v>528</v>
      </c>
      <c r="J6" s="4">
        <f>242+161+100+61</f>
        <v>564</v>
      </c>
      <c r="K6" s="61">
        <f t="shared" si="0"/>
        <v>6496</v>
      </c>
      <c r="M6" s="115" t="s">
        <v>201</v>
      </c>
      <c r="N6" s="4">
        <v>21513</v>
      </c>
      <c r="O6" s="4">
        <v>286</v>
      </c>
      <c r="P6" s="4">
        <v>871</v>
      </c>
      <c r="Q6" s="4">
        <v>275</v>
      </c>
      <c r="R6" s="4">
        <v>1145</v>
      </c>
      <c r="S6" s="4">
        <v>132</v>
      </c>
      <c r="T6" s="4">
        <v>150</v>
      </c>
      <c r="U6" s="4">
        <v>14371</v>
      </c>
      <c r="V6" s="4">
        <v>2886</v>
      </c>
      <c r="W6" s="5">
        <f t="shared" si="1"/>
        <v>41629</v>
      </c>
      <c r="Y6" s="115" t="s">
        <v>201</v>
      </c>
      <c r="Z6" s="4">
        <v>21513</v>
      </c>
      <c r="AA6" s="4">
        <v>286</v>
      </c>
      <c r="AB6" s="4">
        <v>871</v>
      </c>
      <c r="AC6" s="4">
        <v>275</v>
      </c>
      <c r="AD6" s="4">
        <v>1145</v>
      </c>
      <c r="AE6" s="4">
        <v>132</v>
      </c>
      <c r="AF6" s="4">
        <v>150</v>
      </c>
      <c r="AG6" s="4">
        <v>14371</v>
      </c>
      <c r="AH6" s="4">
        <v>2886</v>
      </c>
      <c r="AI6" s="5">
        <f t="shared" si="2"/>
        <v>41629</v>
      </c>
      <c r="AW6" s="17" t="s">
        <v>153</v>
      </c>
      <c r="AX6" s="263" t="s">
        <v>81</v>
      </c>
      <c r="AY6" s="264"/>
      <c r="AZ6" s="264"/>
      <c r="BA6" s="264"/>
      <c r="BB6" s="264"/>
      <c r="BC6" s="264"/>
      <c r="BD6" s="264"/>
      <c r="BE6" s="264"/>
      <c r="BF6" s="265"/>
      <c r="BG6" s="112"/>
      <c r="BI6" s="73" t="s">
        <v>222</v>
      </c>
      <c r="BJ6" s="74">
        <v>76356</v>
      </c>
      <c r="BK6" s="74">
        <v>1172</v>
      </c>
      <c r="BL6" s="74">
        <v>2696</v>
      </c>
      <c r="BM6" s="74">
        <v>637</v>
      </c>
      <c r="BN6" s="74">
        <v>5218</v>
      </c>
      <c r="BO6" s="74">
        <v>348</v>
      </c>
      <c r="BP6" s="74">
        <v>559</v>
      </c>
      <c r="BQ6" s="74">
        <v>46282</v>
      </c>
      <c r="BR6" s="74">
        <v>10225</v>
      </c>
      <c r="BS6" s="75">
        <f t="shared" si="3"/>
        <v>143493</v>
      </c>
      <c r="CT6" s="134" t="s">
        <v>243</v>
      </c>
      <c r="CU6" s="4">
        <v>11046</v>
      </c>
      <c r="CV6" s="4">
        <v>53</v>
      </c>
      <c r="CW6" s="4">
        <v>131</v>
      </c>
      <c r="CX6" s="4">
        <v>108</v>
      </c>
      <c r="CY6" s="4">
        <v>500</v>
      </c>
      <c r="CZ6" s="4">
        <v>31</v>
      </c>
      <c r="DA6" s="4">
        <v>63</v>
      </c>
      <c r="DB6" s="4">
        <v>6951</v>
      </c>
      <c r="DC6" s="4">
        <v>1657</v>
      </c>
      <c r="DD6" s="61">
        <f aca="true" t="shared" si="14" ref="DD6:DD18">SUM(CU6:DC6)</f>
        <v>20540</v>
      </c>
      <c r="DF6" s="134" t="s">
        <v>243</v>
      </c>
      <c r="DG6" s="11">
        <f t="shared" si="4"/>
        <v>53.77799415774099</v>
      </c>
      <c r="DH6" s="11">
        <f t="shared" si="5"/>
        <v>0.25803310613437197</v>
      </c>
      <c r="DI6" s="11">
        <f t="shared" si="6"/>
        <v>0.6377799415774099</v>
      </c>
      <c r="DJ6" s="11">
        <f t="shared" si="7"/>
        <v>0.5258033106134372</v>
      </c>
      <c r="DK6" s="11">
        <f t="shared" si="8"/>
        <v>2.4342745861733204</v>
      </c>
      <c r="DL6" s="11">
        <f t="shared" si="9"/>
        <v>0.15092502434274588</v>
      </c>
      <c r="DM6" s="11">
        <f t="shared" si="10"/>
        <v>0.3067185978578384</v>
      </c>
      <c r="DN6" s="11">
        <f t="shared" si="11"/>
        <v>33.841285296981496</v>
      </c>
      <c r="DO6" s="11">
        <f t="shared" si="12"/>
        <v>8.067185978578383</v>
      </c>
      <c r="DP6" s="133">
        <f t="shared" si="13"/>
        <v>100</v>
      </c>
    </row>
    <row r="7" spans="1:120" ht="15" customHeight="1">
      <c r="A7" s="3" t="s">
        <v>85</v>
      </c>
      <c r="B7" s="4">
        <f>63+37+18</f>
        <v>118</v>
      </c>
      <c r="C7" s="4">
        <f>53+10</f>
        <v>63</v>
      </c>
      <c r="D7" s="4">
        <f>20+28</f>
        <v>48</v>
      </c>
      <c r="E7" s="4">
        <f>78+181</f>
        <v>259</v>
      </c>
      <c r="F7" s="4">
        <f>171+125</f>
        <v>296</v>
      </c>
      <c r="G7" s="4">
        <f>91+90</f>
        <v>181</v>
      </c>
      <c r="H7" s="4">
        <f>83+86</f>
        <v>169</v>
      </c>
      <c r="I7" s="4">
        <f>95+65</f>
        <v>160</v>
      </c>
      <c r="J7" s="4">
        <f>49+48+62+164</f>
        <v>323</v>
      </c>
      <c r="K7" s="61">
        <f t="shared" si="0"/>
        <v>1617</v>
      </c>
      <c r="M7" s="114" t="s">
        <v>202</v>
      </c>
      <c r="N7" s="71">
        <v>40688</v>
      </c>
      <c r="O7" s="71">
        <v>596</v>
      </c>
      <c r="P7" s="71">
        <v>1049</v>
      </c>
      <c r="Q7" s="71">
        <v>493</v>
      </c>
      <c r="R7" s="71">
        <v>2136</v>
      </c>
      <c r="S7" s="71">
        <v>172</v>
      </c>
      <c r="T7" s="71">
        <v>345</v>
      </c>
      <c r="U7" s="71">
        <v>24950</v>
      </c>
      <c r="V7" s="71">
        <v>5621</v>
      </c>
      <c r="W7" s="72">
        <f t="shared" si="1"/>
        <v>76050</v>
      </c>
      <c r="Y7" s="114" t="s">
        <v>202</v>
      </c>
      <c r="Z7" s="71">
        <v>40688</v>
      </c>
      <c r="AA7" s="71">
        <v>596</v>
      </c>
      <c r="AB7" s="71">
        <v>1049</v>
      </c>
      <c r="AC7" s="71">
        <v>493</v>
      </c>
      <c r="AD7" s="71">
        <v>2136</v>
      </c>
      <c r="AE7" s="71">
        <v>172</v>
      </c>
      <c r="AF7" s="71">
        <v>345</v>
      </c>
      <c r="AG7" s="71">
        <v>24950</v>
      </c>
      <c r="AH7" s="71">
        <v>5621</v>
      </c>
      <c r="AI7" s="72">
        <f t="shared" si="2"/>
        <v>76050</v>
      </c>
      <c r="AW7" s="126"/>
      <c r="AX7" s="124" t="s">
        <v>82</v>
      </c>
      <c r="AY7" s="113" t="s">
        <v>83</v>
      </c>
      <c r="AZ7" s="113" t="s">
        <v>84</v>
      </c>
      <c r="BA7" s="113" t="s">
        <v>85</v>
      </c>
      <c r="BB7" s="113" t="s">
        <v>86</v>
      </c>
      <c r="BC7" s="113" t="s">
        <v>87</v>
      </c>
      <c r="BD7" s="113" t="s">
        <v>197</v>
      </c>
      <c r="BE7" s="113" t="s">
        <v>89</v>
      </c>
      <c r="BF7" s="118" t="s">
        <v>198</v>
      </c>
      <c r="BG7" s="91" t="s">
        <v>20</v>
      </c>
      <c r="BI7" s="3" t="s">
        <v>223</v>
      </c>
      <c r="BJ7" s="105">
        <v>10489</v>
      </c>
      <c r="BK7" s="105">
        <v>210</v>
      </c>
      <c r="BL7" s="105">
        <v>581</v>
      </c>
      <c r="BM7" s="105">
        <v>74</v>
      </c>
      <c r="BN7" s="105">
        <v>1839</v>
      </c>
      <c r="BO7" s="105">
        <v>67</v>
      </c>
      <c r="BP7" s="105">
        <v>95</v>
      </c>
      <c r="BQ7" s="105">
        <v>4339</v>
      </c>
      <c r="BR7" s="105">
        <v>1517</v>
      </c>
      <c r="BS7" s="6">
        <f t="shared" si="3"/>
        <v>19211</v>
      </c>
      <c r="CT7" s="134" t="s">
        <v>244</v>
      </c>
      <c r="CU7" s="4">
        <v>1074</v>
      </c>
      <c r="CV7" s="4">
        <v>8</v>
      </c>
      <c r="CW7" s="4">
        <v>4</v>
      </c>
      <c r="CX7" s="4">
        <v>4</v>
      </c>
      <c r="CY7" s="4">
        <v>4</v>
      </c>
      <c r="CZ7" s="4">
        <v>2</v>
      </c>
      <c r="DA7" s="4">
        <v>25</v>
      </c>
      <c r="DB7" s="4">
        <v>772</v>
      </c>
      <c r="DC7" s="4">
        <v>147</v>
      </c>
      <c r="DD7" s="61">
        <f t="shared" si="14"/>
        <v>2040</v>
      </c>
      <c r="DF7" s="134" t="s">
        <v>244</v>
      </c>
      <c r="DG7" s="11">
        <f t="shared" si="4"/>
        <v>52.64705882352941</v>
      </c>
      <c r="DH7" s="11">
        <f t="shared" si="5"/>
        <v>0.39215686274509803</v>
      </c>
      <c r="DI7" s="11">
        <f t="shared" si="6"/>
        <v>0.19607843137254902</v>
      </c>
      <c r="DJ7" s="11">
        <f t="shared" si="7"/>
        <v>0.19607843137254902</v>
      </c>
      <c r="DK7" s="11">
        <f t="shared" si="8"/>
        <v>0.19607843137254902</v>
      </c>
      <c r="DL7" s="11">
        <f t="shared" si="9"/>
        <v>0.09803921568627451</v>
      </c>
      <c r="DM7" s="11">
        <f t="shared" si="10"/>
        <v>1.2254901960784315</v>
      </c>
      <c r="DN7" s="11">
        <f t="shared" si="11"/>
        <v>37.84313725490196</v>
      </c>
      <c r="DO7" s="11">
        <f t="shared" si="12"/>
        <v>7.205882352941176</v>
      </c>
      <c r="DP7" s="133">
        <f t="shared" si="13"/>
        <v>100</v>
      </c>
    </row>
    <row r="8" spans="1:120" ht="15" customHeight="1">
      <c r="A8" s="99" t="s">
        <v>86</v>
      </c>
      <c r="B8" s="42">
        <f>2797+1519+989</f>
        <v>5305</v>
      </c>
      <c r="C8" s="42">
        <f>2231+432</f>
        <v>2663</v>
      </c>
      <c r="D8" s="99">
        <f>809+819</f>
        <v>1628</v>
      </c>
      <c r="E8" s="42">
        <f>2175+2222</f>
        <v>4397</v>
      </c>
      <c r="F8" s="99">
        <f>2167+1958</f>
        <v>4125</v>
      </c>
      <c r="G8" s="99">
        <f>1838+1278</f>
        <v>3116</v>
      </c>
      <c r="H8" s="99">
        <f>895+686</f>
        <v>1581</v>
      </c>
      <c r="I8" s="42">
        <f>542+475</f>
        <v>1017</v>
      </c>
      <c r="J8" s="42">
        <f>444+285+121+64</f>
        <v>914</v>
      </c>
      <c r="K8" s="61">
        <f t="shared" si="0"/>
        <v>24746</v>
      </c>
      <c r="M8" s="114" t="s">
        <v>203</v>
      </c>
      <c r="N8" s="71">
        <v>15293</v>
      </c>
      <c r="O8" s="71">
        <v>205</v>
      </c>
      <c r="P8" s="71">
        <v>606</v>
      </c>
      <c r="Q8" s="71">
        <v>130</v>
      </c>
      <c r="R8" s="71">
        <v>1242</v>
      </c>
      <c r="S8" s="71">
        <v>68</v>
      </c>
      <c r="T8" s="71">
        <v>162</v>
      </c>
      <c r="U8" s="71">
        <v>6851</v>
      </c>
      <c r="V8" s="71">
        <v>2161</v>
      </c>
      <c r="W8" s="72">
        <f t="shared" si="1"/>
        <v>26718</v>
      </c>
      <c r="Y8" s="114" t="s">
        <v>203</v>
      </c>
      <c r="Z8" s="71">
        <v>15293</v>
      </c>
      <c r="AA8" s="71">
        <v>205</v>
      </c>
      <c r="AB8" s="71">
        <v>606</v>
      </c>
      <c r="AC8" s="71">
        <v>130</v>
      </c>
      <c r="AD8" s="71">
        <v>1242</v>
      </c>
      <c r="AE8" s="71">
        <v>68</v>
      </c>
      <c r="AF8" s="71">
        <v>162</v>
      </c>
      <c r="AG8" s="71">
        <v>6851</v>
      </c>
      <c r="AH8" s="71">
        <v>2161</v>
      </c>
      <c r="AI8" s="72">
        <f t="shared" si="2"/>
        <v>26718</v>
      </c>
      <c r="AW8" s="67" t="s">
        <v>98</v>
      </c>
      <c r="AX8" s="76">
        <f>(AL14/AL43)*100</f>
        <v>80.54000861061566</v>
      </c>
      <c r="AY8" s="76">
        <f aca="true" t="shared" si="15" ref="AY8:BG8">(AM14/AM43)*100</f>
        <v>37.60683760683761</v>
      </c>
      <c r="AZ8" s="76">
        <f t="shared" si="15"/>
        <v>33.65147783251231</v>
      </c>
      <c r="BA8" s="76">
        <f t="shared" si="15"/>
        <v>79.282622139765</v>
      </c>
      <c r="BB8" s="76">
        <f t="shared" si="15"/>
        <v>45.91449123090601</v>
      </c>
      <c r="BC8" s="76">
        <f t="shared" si="15"/>
        <v>58.41346153846154</v>
      </c>
      <c r="BD8" s="76">
        <f t="shared" si="15"/>
        <v>71.31722525331254</v>
      </c>
      <c r="BE8" s="76">
        <f t="shared" si="15"/>
        <v>84.85859318346628</v>
      </c>
      <c r="BF8" s="76">
        <f t="shared" si="15"/>
        <v>81.29120537380271</v>
      </c>
      <c r="BG8" s="79">
        <f t="shared" si="15"/>
        <v>77.5146175019137</v>
      </c>
      <c r="BI8" s="3" t="s">
        <v>224</v>
      </c>
      <c r="BJ8" s="105">
        <v>65867</v>
      </c>
      <c r="BK8" s="105">
        <v>962</v>
      </c>
      <c r="BL8" s="105">
        <v>2115</v>
      </c>
      <c r="BM8" s="105">
        <v>563</v>
      </c>
      <c r="BN8" s="105">
        <v>3379</v>
      </c>
      <c r="BO8" s="105">
        <v>281</v>
      </c>
      <c r="BP8" s="105">
        <v>464</v>
      </c>
      <c r="BQ8" s="105">
        <v>41943</v>
      </c>
      <c r="BR8" s="105">
        <v>8708</v>
      </c>
      <c r="BS8" s="6">
        <f t="shared" si="3"/>
        <v>124282</v>
      </c>
      <c r="CT8" s="134" t="s">
        <v>245</v>
      </c>
      <c r="CU8" s="4">
        <v>271</v>
      </c>
      <c r="CV8" s="4">
        <v>6</v>
      </c>
      <c r="CW8" s="4">
        <v>1</v>
      </c>
      <c r="CX8" s="4">
        <v>2</v>
      </c>
      <c r="CY8" s="4">
        <v>4</v>
      </c>
      <c r="CZ8" s="4">
        <v>0</v>
      </c>
      <c r="DA8" s="4">
        <v>1</v>
      </c>
      <c r="DB8" s="4">
        <v>212</v>
      </c>
      <c r="DC8" s="4">
        <v>34</v>
      </c>
      <c r="DD8" s="61">
        <f t="shared" si="14"/>
        <v>531</v>
      </c>
      <c r="DF8" s="134" t="s">
        <v>245</v>
      </c>
      <c r="DG8" s="11">
        <f t="shared" si="4"/>
        <v>51.03578154425612</v>
      </c>
      <c r="DH8" s="11">
        <f t="shared" si="5"/>
        <v>1.1299435028248588</v>
      </c>
      <c r="DI8" s="11">
        <f t="shared" si="6"/>
        <v>0.18832391713747645</v>
      </c>
      <c r="DJ8" s="11">
        <f t="shared" si="7"/>
        <v>0.3766478342749529</v>
      </c>
      <c r="DK8" s="11">
        <f t="shared" si="8"/>
        <v>0.7532956685499058</v>
      </c>
      <c r="DL8" s="11">
        <f t="shared" si="9"/>
        <v>0</v>
      </c>
      <c r="DM8" s="11">
        <f t="shared" si="10"/>
        <v>0.18832391713747645</v>
      </c>
      <c r="DN8" s="11">
        <f t="shared" si="11"/>
        <v>39.92467043314501</v>
      </c>
      <c r="DO8" s="11">
        <f t="shared" si="12"/>
        <v>6.4030131826742</v>
      </c>
      <c r="DP8" s="133">
        <f t="shared" si="13"/>
        <v>99.99999999999999</v>
      </c>
    </row>
    <row r="9" spans="1:120" ht="15" customHeight="1">
      <c r="A9" s="3" t="s">
        <v>87</v>
      </c>
      <c r="B9" s="4">
        <f>49+17+9</f>
        <v>75</v>
      </c>
      <c r="C9" s="4">
        <f>31+5</f>
        <v>36</v>
      </c>
      <c r="D9" s="4">
        <f>13+27</f>
        <v>40</v>
      </c>
      <c r="E9" s="4">
        <f>92+126</f>
        <v>218</v>
      </c>
      <c r="F9" s="4">
        <f>99+72</f>
        <v>171</v>
      </c>
      <c r="G9" s="4">
        <f>65+46</f>
        <v>111</v>
      </c>
      <c r="H9" s="4">
        <f>37+47</f>
        <v>84</v>
      </c>
      <c r="I9" s="105">
        <f>30+20</f>
        <v>50</v>
      </c>
      <c r="J9" s="99">
        <f>24+12+9+2</f>
        <v>47</v>
      </c>
      <c r="K9" s="61">
        <f t="shared" si="0"/>
        <v>832</v>
      </c>
      <c r="M9" s="114" t="s">
        <v>204</v>
      </c>
      <c r="N9" s="71">
        <v>11310</v>
      </c>
      <c r="O9" s="71">
        <v>221</v>
      </c>
      <c r="P9" s="71">
        <v>479</v>
      </c>
      <c r="Q9" s="71">
        <v>147</v>
      </c>
      <c r="R9" s="71">
        <v>1747</v>
      </c>
      <c r="S9" s="71">
        <v>77</v>
      </c>
      <c r="T9" s="71">
        <v>116</v>
      </c>
      <c r="U9" s="71">
        <v>4886</v>
      </c>
      <c r="V9" s="71">
        <v>1667</v>
      </c>
      <c r="W9" s="72">
        <f t="shared" si="1"/>
        <v>20650</v>
      </c>
      <c r="Y9" s="114" t="s">
        <v>204</v>
      </c>
      <c r="Z9" s="71">
        <v>11310</v>
      </c>
      <c r="AA9" s="71">
        <v>221</v>
      </c>
      <c r="AB9" s="71">
        <v>479</v>
      </c>
      <c r="AC9" s="71">
        <v>147</v>
      </c>
      <c r="AD9" s="71">
        <v>1747</v>
      </c>
      <c r="AE9" s="71">
        <v>77</v>
      </c>
      <c r="AF9" s="71">
        <v>116</v>
      </c>
      <c r="AG9" s="71">
        <v>4886</v>
      </c>
      <c r="AH9" s="71">
        <v>1667</v>
      </c>
      <c r="AI9" s="72">
        <f t="shared" si="2"/>
        <v>20650</v>
      </c>
      <c r="AW9" s="68" t="s">
        <v>124</v>
      </c>
      <c r="AX9" s="77">
        <f>(AL15/AL43)*100</f>
        <v>65.0458207761855</v>
      </c>
      <c r="AY9" s="77">
        <f aca="true" t="shared" si="16" ref="AY9:BG9">(AM15/AM43)*100</f>
        <v>31.041181041181044</v>
      </c>
      <c r="AZ9" s="77">
        <f t="shared" si="16"/>
        <v>32.2814039408867</v>
      </c>
      <c r="BA9" s="77">
        <f t="shared" si="16"/>
        <v>70.31539888682747</v>
      </c>
      <c r="BB9" s="77">
        <f t="shared" si="16"/>
        <v>35.96136749373636</v>
      </c>
      <c r="BC9" s="77">
        <f t="shared" si="16"/>
        <v>56.129807692307686</v>
      </c>
      <c r="BD9" s="77">
        <f t="shared" si="16"/>
        <v>62.743569758378804</v>
      </c>
      <c r="BE9" s="77">
        <f t="shared" si="16"/>
        <v>74.90935460478607</v>
      </c>
      <c r="BF9" s="77">
        <f t="shared" si="16"/>
        <v>68.33354065596882</v>
      </c>
      <c r="BG9" s="80">
        <f t="shared" si="16"/>
        <v>64.6336259548201</v>
      </c>
      <c r="BI9" s="73" t="s">
        <v>225</v>
      </c>
      <c r="BJ9" s="74">
        <v>15425</v>
      </c>
      <c r="BK9" s="74">
        <v>301</v>
      </c>
      <c r="BL9" s="74">
        <v>538</v>
      </c>
      <c r="BM9" s="74">
        <v>227</v>
      </c>
      <c r="BN9" s="74">
        <v>1684</v>
      </c>
      <c r="BO9" s="74">
        <v>84</v>
      </c>
      <c r="BP9" s="74">
        <v>210</v>
      </c>
      <c r="BQ9" s="74">
        <v>8862</v>
      </c>
      <c r="BR9" s="74">
        <v>2492</v>
      </c>
      <c r="BS9" s="75">
        <f t="shared" si="3"/>
        <v>29823</v>
      </c>
      <c r="CT9" s="134" t="s">
        <v>246</v>
      </c>
      <c r="CU9" s="4">
        <v>1750</v>
      </c>
      <c r="CV9" s="4">
        <v>27</v>
      </c>
      <c r="CW9" s="4">
        <v>3</v>
      </c>
      <c r="CX9" s="4">
        <v>6</v>
      </c>
      <c r="CY9" s="4">
        <v>13</v>
      </c>
      <c r="CZ9" s="4">
        <v>3</v>
      </c>
      <c r="DA9" s="4">
        <v>4</v>
      </c>
      <c r="DB9" s="4">
        <v>1203</v>
      </c>
      <c r="DC9" s="4">
        <v>239</v>
      </c>
      <c r="DD9" s="61">
        <f t="shared" si="14"/>
        <v>3248</v>
      </c>
      <c r="DF9" s="134" t="s">
        <v>246</v>
      </c>
      <c r="DG9" s="11">
        <f t="shared" si="4"/>
        <v>53.879310344827594</v>
      </c>
      <c r="DH9" s="11">
        <f t="shared" si="5"/>
        <v>0.83128078817734</v>
      </c>
      <c r="DI9" s="11">
        <f t="shared" si="6"/>
        <v>0.09236453201970443</v>
      </c>
      <c r="DJ9" s="11">
        <f t="shared" si="7"/>
        <v>0.18472906403940886</v>
      </c>
      <c r="DK9" s="11">
        <f t="shared" si="8"/>
        <v>0.40024630541871925</v>
      </c>
      <c r="DL9" s="11">
        <f t="shared" si="9"/>
        <v>0.09236453201970443</v>
      </c>
      <c r="DM9" s="11">
        <f t="shared" si="10"/>
        <v>0.12315270935960591</v>
      </c>
      <c r="DN9" s="11">
        <f t="shared" si="11"/>
        <v>37.03817733990148</v>
      </c>
      <c r="DO9" s="11">
        <f t="shared" si="12"/>
        <v>7.358374384236453</v>
      </c>
      <c r="DP9" s="133">
        <f t="shared" si="13"/>
        <v>100.00000000000001</v>
      </c>
    </row>
    <row r="10" spans="1:120" ht="15" customHeight="1">
      <c r="A10" s="3" t="s">
        <v>88</v>
      </c>
      <c r="B10" s="4">
        <f>33+11+6</f>
        <v>50</v>
      </c>
      <c r="C10" s="4">
        <f>20+4</f>
        <v>24</v>
      </c>
      <c r="D10" s="4">
        <f>6+14</f>
        <v>20</v>
      </c>
      <c r="E10" s="4">
        <f>125+186</f>
        <v>311</v>
      </c>
      <c r="F10" s="4">
        <f>155+162</f>
        <v>317</v>
      </c>
      <c r="G10" s="4">
        <f>114+107</f>
        <v>221</v>
      </c>
      <c r="H10" s="4">
        <f>85+85</f>
        <v>170</v>
      </c>
      <c r="I10" s="4">
        <f>69+30</f>
        <v>99</v>
      </c>
      <c r="J10" s="105">
        <f>26+19+16+10</f>
        <v>71</v>
      </c>
      <c r="K10" s="61">
        <f t="shared" si="0"/>
        <v>1283</v>
      </c>
      <c r="M10" s="114" t="s">
        <v>205</v>
      </c>
      <c r="N10" s="71">
        <v>5700</v>
      </c>
      <c r="O10" s="71">
        <v>156</v>
      </c>
      <c r="P10" s="71">
        <v>193</v>
      </c>
      <c r="Q10" s="71">
        <v>42</v>
      </c>
      <c r="R10" s="71">
        <v>659</v>
      </c>
      <c r="S10" s="71">
        <v>22</v>
      </c>
      <c r="T10" s="71">
        <v>55</v>
      </c>
      <c r="U10" s="71">
        <v>2497</v>
      </c>
      <c r="V10" s="71">
        <v>763</v>
      </c>
      <c r="W10" s="72">
        <f t="shared" si="1"/>
        <v>10087</v>
      </c>
      <c r="Y10" s="114" t="s">
        <v>205</v>
      </c>
      <c r="Z10" s="71">
        <v>5700</v>
      </c>
      <c r="AA10" s="71">
        <v>156</v>
      </c>
      <c r="AB10" s="71">
        <v>193</v>
      </c>
      <c r="AC10" s="71">
        <v>42</v>
      </c>
      <c r="AD10" s="71">
        <v>659</v>
      </c>
      <c r="AE10" s="71">
        <v>22</v>
      </c>
      <c r="AF10" s="71">
        <v>55</v>
      </c>
      <c r="AG10" s="71">
        <v>2497</v>
      </c>
      <c r="AH10" s="71">
        <v>763</v>
      </c>
      <c r="AI10" s="72">
        <f t="shared" si="2"/>
        <v>10087</v>
      </c>
      <c r="AW10" s="3" t="s">
        <v>125</v>
      </c>
      <c r="AX10" s="62">
        <f>(AL16/AL43)*100</f>
        <v>61.278061381388774</v>
      </c>
      <c r="AY10" s="62">
        <f aca="true" t="shared" si="17" ref="AY10:BG10">(AM16/AM43)*100</f>
        <v>28.826728826728825</v>
      </c>
      <c r="AZ10" s="62">
        <f t="shared" si="17"/>
        <v>31.92733990147783</v>
      </c>
      <c r="BA10" s="62">
        <f t="shared" si="17"/>
        <v>68.46011131725417</v>
      </c>
      <c r="BB10" s="62">
        <f t="shared" si="17"/>
        <v>35.49664592257334</v>
      </c>
      <c r="BC10" s="62">
        <f t="shared" si="17"/>
        <v>55.52884615384615</v>
      </c>
      <c r="BD10" s="62">
        <f t="shared" si="17"/>
        <v>59.23616523772408</v>
      </c>
      <c r="BE10" s="62">
        <f t="shared" si="17"/>
        <v>70.25380710659898</v>
      </c>
      <c r="BF10" s="62">
        <f t="shared" si="17"/>
        <v>65.07442882613924</v>
      </c>
      <c r="BG10" s="63">
        <f t="shared" si="17"/>
        <v>61.03780191859802</v>
      </c>
      <c r="BI10" s="3" t="s">
        <v>226</v>
      </c>
      <c r="BJ10" s="105">
        <v>4538</v>
      </c>
      <c r="BK10" s="105">
        <v>101</v>
      </c>
      <c r="BL10" s="105">
        <v>148</v>
      </c>
      <c r="BM10" s="105">
        <v>76</v>
      </c>
      <c r="BN10" s="105">
        <v>821</v>
      </c>
      <c r="BO10" s="105">
        <v>29</v>
      </c>
      <c r="BP10" s="105">
        <v>83</v>
      </c>
      <c r="BQ10" s="105">
        <v>2341</v>
      </c>
      <c r="BR10" s="105">
        <v>779</v>
      </c>
      <c r="BS10" s="6">
        <f t="shared" si="3"/>
        <v>8916</v>
      </c>
      <c r="CT10" s="134" t="s">
        <v>247</v>
      </c>
      <c r="CU10" s="4">
        <v>461</v>
      </c>
      <c r="CV10" s="4">
        <v>2</v>
      </c>
      <c r="CW10" s="4">
        <v>1</v>
      </c>
      <c r="CX10" s="4">
        <v>4</v>
      </c>
      <c r="CY10" s="4">
        <v>1</v>
      </c>
      <c r="CZ10" s="4">
        <v>0</v>
      </c>
      <c r="DA10" s="4">
        <v>5</v>
      </c>
      <c r="DB10" s="4">
        <v>284</v>
      </c>
      <c r="DC10" s="4">
        <v>59</v>
      </c>
      <c r="DD10" s="61">
        <f t="shared" si="14"/>
        <v>817</v>
      </c>
      <c r="DF10" s="134" t="s">
        <v>247</v>
      </c>
      <c r="DG10" s="11">
        <f t="shared" si="4"/>
        <v>56.42594859241126</v>
      </c>
      <c r="DH10" s="11">
        <f t="shared" si="5"/>
        <v>0.24479804161566704</v>
      </c>
      <c r="DI10" s="11">
        <f t="shared" si="6"/>
        <v>0.12239902080783352</v>
      </c>
      <c r="DJ10" s="11">
        <f t="shared" si="7"/>
        <v>0.4895960832313341</v>
      </c>
      <c r="DK10" s="11">
        <f t="shared" si="8"/>
        <v>0.12239902080783352</v>
      </c>
      <c r="DL10" s="11">
        <f t="shared" si="9"/>
        <v>0</v>
      </c>
      <c r="DM10" s="11">
        <f t="shared" si="10"/>
        <v>0.6119951040391677</v>
      </c>
      <c r="DN10" s="11">
        <f t="shared" si="11"/>
        <v>34.76132190942472</v>
      </c>
      <c r="DO10" s="11">
        <f t="shared" si="12"/>
        <v>7.221542227662178</v>
      </c>
      <c r="DP10" s="133">
        <f t="shared" si="13"/>
        <v>100</v>
      </c>
    </row>
    <row r="11" spans="1:120" ht="15" customHeight="1">
      <c r="A11" s="3" t="s">
        <v>192</v>
      </c>
      <c r="B11" s="4">
        <f>5014+1707+958</f>
        <v>7679</v>
      </c>
      <c r="C11" s="4">
        <f>2440+479</f>
        <v>2919</v>
      </c>
      <c r="D11" s="4">
        <f>1147+1672</f>
        <v>2819</v>
      </c>
      <c r="E11" s="4">
        <f>8722+17572</f>
        <v>26294</v>
      </c>
      <c r="F11" s="4">
        <f>13858+8598</f>
        <v>22456</v>
      </c>
      <c r="G11" s="4">
        <f>5924+4344</f>
        <v>10268</v>
      </c>
      <c r="H11" s="4">
        <f>3053+2297</f>
        <v>5350</v>
      </c>
      <c r="I11" s="4">
        <f>1915+1153</f>
        <v>3068</v>
      </c>
      <c r="J11" s="4">
        <f>798+493+299+297</f>
        <v>1887</v>
      </c>
      <c r="K11" s="61">
        <f t="shared" si="0"/>
        <v>82740</v>
      </c>
      <c r="M11" s="114" t="s">
        <v>206</v>
      </c>
      <c r="N11" s="71">
        <v>11442</v>
      </c>
      <c r="O11" s="71">
        <v>246</v>
      </c>
      <c r="P11" s="71">
        <v>675</v>
      </c>
      <c r="Q11" s="71">
        <v>72</v>
      </c>
      <c r="R11" s="71">
        <v>1655</v>
      </c>
      <c r="S11" s="71">
        <v>51</v>
      </c>
      <c r="T11" s="71">
        <v>106</v>
      </c>
      <c r="U11" s="71">
        <v>3860</v>
      </c>
      <c r="V11" s="71">
        <v>1592</v>
      </c>
      <c r="W11" s="72">
        <f t="shared" si="1"/>
        <v>19699</v>
      </c>
      <c r="Y11" s="114" t="s">
        <v>206</v>
      </c>
      <c r="Z11" s="71">
        <v>11442</v>
      </c>
      <c r="AA11" s="71">
        <v>246</v>
      </c>
      <c r="AB11" s="71">
        <v>675</v>
      </c>
      <c r="AC11" s="71">
        <v>72</v>
      </c>
      <c r="AD11" s="71">
        <v>1655</v>
      </c>
      <c r="AE11" s="71">
        <v>51</v>
      </c>
      <c r="AF11" s="71">
        <v>106</v>
      </c>
      <c r="AG11" s="71">
        <v>3860</v>
      </c>
      <c r="AH11" s="71">
        <v>1592</v>
      </c>
      <c r="AI11" s="72">
        <f t="shared" si="2"/>
        <v>19699</v>
      </c>
      <c r="AK11" s="56" t="s">
        <v>217</v>
      </c>
      <c r="AL11" s="97"/>
      <c r="AM11" s="97"/>
      <c r="AN11" s="97"/>
      <c r="AO11" s="97"/>
      <c r="AP11" s="97"/>
      <c r="AQ11" s="97"/>
      <c r="AR11" s="97"/>
      <c r="AS11" s="97"/>
      <c r="AT11" s="97"/>
      <c r="AU11" s="111"/>
      <c r="AW11" s="3" t="s">
        <v>126</v>
      </c>
      <c r="AX11" s="62">
        <f>(AL17/AL43)*100</f>
        <v>0.8364598068761917</v>
      </c>
      <c r="AY11" s="62">
        <f aca="true" t="shared" si="18" ref="AY11:BG11">(AM17/AM43)*100</f>
        <v>0.3108003108003108</v>
      </c>
      <c r="AZ11" s="62">
        <f t="shared" si="18"/>
        <v>0.0769704433497537</v>
      </c>
      <c r="BA11" s="62">
        <f t="shared" si="18"/>
        <v>0.06184291898577613</v>
      </c>
      <c r="BB11" s="62">
        <f t="shared" si="18"/>
        <v>0.03232845712438374</v>
      </c>
      <c r="BC11" s="62">
        <f t="shared" si="18"/>
        <v>0</v>
      </c>
      <c r="BD11" s="62">
        <f t="shared" si="18"/>
        <v>0.5455962587685114</v>
      </c>
      <c r="BE11" s="62">
        <f t="shared" si="18"/>
        <v>0.5064056079284506</v>
      </c>
      <c r="BF11" s="62">
        <f t="shared" si="18"/>
        <v>0.5224530414230625</v>
      </c>
      <c r="BG11" s="63">
        <f t="shared" si="18"/>
        <v>0.6299776869330119</v>
      </c>
      <c r="BI11" s="3" t="s">
        <v>227</v>
      </c>
      <c r="BJ11" s="105">
        <v>10887</v>
      </c>
      <c r="BK11" s="105">
        <v>200</v>
      </c>
      <c r="BL11" s="105">
        <v>390</v>
      </c>
      <c r="BM11" s="105">
        <v>151</v>
      </c>
      <c r="BN11" s="105">
        <v>863</v>
      </c>
      <c r="BO11" s="105">
        <v>55</v>
      </c>
      <c r="BP11" s="105">
        <v>127</v>
      </c>
      <c r="BQ11" s="105">
        <v>6521</v>
      </c>
      <c r="BR11" s="105">
        <v>1713</v>
      </c>
      <c r="BS11" s="6">
        <f t="shared" si="3"/>
        <v>20907</v>
      </c>
      <c r="CT11" s="134" t="s">
        <v>248</v>
      </c>
      <c r="CU11" s="4">
        <v>802</v>
      </c>
      <c r="CV11" s="4">
        <v>4</v>
      </c>
      <c r="CW11" s="4">
        <v>2</v>
      </c>
      <c r="CX11" s="4">
        <v>0</v>
      </c>
      <c r="CY11" s="4">
        <v>5</v>
      </c>
      <c r="CZ11" s="4">
        <v>0</v>
      </c>
      <c r="DA11" s="4">
        <v>3</v>
      </c>
      <c r="DB11" s="4">
        <v>226</v>
      </c>
      <c r="DC11" s="4">
        <v>71</v>
      </c>
      <c r="DD11" s="61">
        <f t="shared" si="14"/>
        <v>1113</v>
      </c>
      <c r="DF11" s="134" t="s">
        <v>248</v>
      </c>
      <c r="DG11" s="11">
        <f t="shared" si="4"/>
        <v>72.0575022461815</v>
      </c>
      <c r="DH11" s="11">
        <f t="shared" si="5"/>
        <v>0.3593890386343217</v>
      </c>
      <c r="DI11" s="11">
        <f t="shared" si="6"/>
        <v>0.17969451931716085</v>
      </c>
      <c r="DJ11" s="11">
        <f t="shared" si="7"/>
        <v>0</v>
      </c>
      <c r="DK11" s="11">
        <f t="shared" si="8"/>
        <v>0.44923629829290207</v>
      </c>
      <c r="DL11" s="11">
        <f t="shared" si="9"/>
        <v>0</v>
      </c>
      <c r="DM11" s="11">
        <f t="shared" si="10"/>
        <v>0.2695417789757413</v>
      </c>
      <c r="DN11" s="11">
        <f t="shared" si="11"/>
        <v>20.30548068283917</v>
      </c>
      <c r="DO11" s="11">
        <f t="shared" si="12"/>
        <v>6.379155435759209</v>
      </c>
      <c r="DP11" s="133">
        <f t="shared" si="13"/>
        <v>100</v>
      </c>
    </row>
    <row r="12" spans="1:120" ht="15" customHeight="1">
      <c r="A12" s="3" t="s">
        <v>90</v>
      </c>
      <c r="B12" s="4">
        <f>2387+813+423</f>
        <v>3623</v>
      </c>
      <c r="C12" s="4">
        <f>986+178</f>
        <v>1164</v>
      </c>
      <c r="D12" s="4">
        <f>352+398</f>
        <v>750</v>
      </c>
      <c r="E12" s="4">
        <f>1765+3050</f>
        <v>4815</v>
      </c>
      <c r="F12" s="4">
        <f>2714+2090</f>
        <v>4804</v>
      </c>
      <c r="G12" s="4">
        <f>1626+1502</f>
        <v>3128</v>
      </c>
      <c r="H12" s="4">
        <f>1231+1056</f>
        <v>2287</v>
      </c>
      <c r="I12" s="4">
        <f>976+712</f>
        <v>1688</v>
      </c>
      <c r="J12" s="4">
        <f>617+515+356+370</f>
        <v>1858</v>
      </c>
      <c r="K12" s="61">
        <f t="shared" si="0"/>
        <v>24117</v>
      </c>
      <c r="M12" s="114" t="s">
        <v>207</v>
      </c>
      <c r="N12" s="71">
        <v>9227</v>
      </c>
      <c r="O12" s="71">
        <v>140</v>
      </c>
      <c r="P12" s="71">
        <v>274</v>
      </c>
      <c r="Q12" s="71">
        <v>32</v>
      </c>
      <c r="R12" s="71">
        <v>972</v>
      </c>
      <c r="S12" s="71">
        <v>35</v>
      </c>
      <c r="T12" s="71">
        <v>75</v>
      </c>
      <c r="U12" s="71">
        <v>2915</v>
      </c>
      <c r="V12" s="71">
        <v>1211</v>
      </c>
      <c r="W12" s="72">
        <f t="shared" si="1"/>
        <v>14881</v>
      </c>
      <c r="Y12" s="114" t="s">
        <v>207</v>
      </c>
      <c r="Z12" s="71">
        <v>9227</v>
      </c>
      <c r="AA12" s="71">
        <v>140</v>
      </c>
      <c r="AB12" s="71">
        <v>274</v>
      </c>
      <c r="AC12" s="71">
        <v>32</v>
      </c>
      <c r="AD12" s="71">
        <v>972</v>
      </c>
      <c r="AE12" s="71">
        <v>35</v>
      </c>
      <c r="AF12" s="71">
        <v>75</v>
      </c>
      <c r="AG12" s="71">
        <v>2915</v>
      </c>
      <c r="AH12" s="71">
        <v>1211</v>
      </c>
      <c r="AI12" s="72">
        <f t="shared" si="2"/>
        <v>14881</v>
      </c>
      <c r="AK12" s="17" t="s">
        <v>153</v>
      </c>
      <c r="AL12" s="263" t="s">
        <v>81</v>
      </c>
      <c r="AM12" s="264"/>
      <c r="AN12" s="264"/>
      <c r="AO12" s="264"/>
      <c r="AP12" s="264"/>
      <c r="AQ12" s="264"/>
      <c r="AR12" s="264"/>
      <c r="AS12" s="264"/>
      <c r="AT12" s="265"/>
      <c r="AU12" s="112"/>
      <c r="AW12" s="3" t="s">
        <v>127</v>
      </c>
      <c r="AX12" s="62">
        <f>(AL18/AL43)*100</f>
        <v>1.8420567070545544</v>
      </c>
      <c r="AY12" s="62">
        <f aca="true" t="shared" si="19" ref="AY12:BG12">(AM18/AM43)*100</f>
        <v>1.282051282051282</v>
      </c>
      <c r="AZ12" s="62">
        <f t="shared" si="19"/>
        <v>0.1539408866995074</v>
      </c>
      <c r="BA12" s="62">
        <f t="shared" si="19"/>
        <v>0.9894867037724181</v>
      </c>
      <c r="BB12" s="62">
        <f t="shared" si="19"/>
        <v>0.2626687141356179</v>
      </c>
      <c r="BC12" s="62">
        <f t="shared" si="19"/>
        <v>0.3605769230769231</v>
      </c>
      <c r="BD12" s="62">
        <f t="shared" si="19"/>
        <v>1.2470771628994544</v>
      </c>
      <c r="BE12" s="62">
        <f t="shared" si="19"/>
        <v>2.4812666183224557</v>
      </c>
      <c r="BF12" s="62">
        <f t="shared" si="19"/>
        <v>1.6793133474312727</v>
      </c>
      <c r="BG12" s="63">
        <f t="shared" si="19"/>
        <v>1.8228309907327482</v>
      </c>
      <c r="BI12" s="73" t="s">
        <v>228</v>
      </c>
      <c r="BJ12" s="74">
        <v>2840</v>
      </c>
      <c r="BK12" s="74">
        <v>90</v>
      </c>
      <c r="BL12" s="74">
        <v>234</v>
      </c>
      <c r="BM12" s="74">
        <v>26</v>
      </c>
      <c r="BN12" s="74">
        <v>720</v>
      </c>
      <c r="BO12" s="74">
        <v>25</v>
      </c>
      <c r="BP12" s="74">
        <v>29</v>
      </c>
      <c r="BQ12" s="74">
        <v>1757</v>
      </c>
      <c r="BR12" s="74">
        <v>402</v>
      </c>
      <c r="BS12" s="75">
        <f t="shared" si="3"/>
        <v>6123</v>
      </c>
      <c r="CT12" s="134" t="s">
        <v>249</v>
      </c>
      <c r="CU12" s="4">
        <v>129</v>
      </c>
      <c r="CV12" s="4">
        <v>0</v>
      </c>
      <c r="CW12" s="4">
        <v>0</v>
      </c>
      <c r="CX12" s="4">
        <v>0</v>
      </c>
      <c r="CY12" s="4">
        <v>2</v>
      </c>
      <c r="CZ12" s="4">
        <v>0</v>
      </c>
      <c r="DA12" s="4">
        <v>0</v>
      </c>
      <c r="DB12" s="4">
        <v>35</v>
      </c>
      <c r="DC12" s="4">
        <v>15</v>
      </c>
      <c r="DD12" s="61">
        <f t="shared" si="14"/>
        <v>181</v>
      </c>
      <c r="DF12" s="134" t="s">
        <v>249</v>
      </c>
      <c r="DG12" s="11">
        <f t="shared" si="4"/>
        <v>71.27071823204419</v>
      </c>
      <c r="DH12" s="11">
        <f t="shared" si="5"/>
        <v>0</v>
      </c>
      <c r="DI12" s="11">
        <f t="shared" si="6"/>
        <v>0</v>
      </c>
      <c r="DJ12" s="11">
        <f t="shared" si="7"/>
        <v>0</v>
      </c>
      <c r="DK12" s="11">
        <f t="shared" si="8"/>
        <v>1.1049723756906076</v>
      </c>
      <c r="DL12" s="11">
        <f t="shared" si="9"/>
        <v>0</v>
      </c>
      <c r="DM12" s="11">
        <f t="shared" si="10"/>
        <v>0</v>
      </c>
      <c r="DN12" s="11">
        <f t="shared" si="11"/>
        <v>19.337016574585636</v>
      </c>
      <c r="DO12" s="11">
        <f t="shared" si="12"/>
        <v>8.287292817679557</v>
      </c>
      <c r="DP12" s="133">
        <f t="shared" si="13"/>
        <v>99.99999999999999</v>
      </c>
    </row>
    <row r="13" spans="1:120" ht="15" customHeight="1">
      <c r="A13" s="7" t="s">
        <v>20</v>
      </c>
      <c r="B13" s="5">
        <f>SUM(B4:B12)</f>
        <v>36244</v>
      </c>
      <c r="C13" s="5">
        <f>SUM(C4:C12)</f>
        <v>14762</v>
      </c>
      <c r="D13" s="5">
        <f aca="true" t="shared" si="20" ref="D13:J13">SUM(D4:D12)</f>
        <v>10162</v>
      </c>
      <c r="E13" s="5">
        <f t="shared" si="20"/>
        <v>70916</v>
      </c>
      <c r="F13" s="5">
        <f t="shared" si="20"/>
        <v>71261</v>
      </c>
      <c r="G13" s="5">
        <f t="shared" si="20"/>
        <v>40642</v>
      </c>
      <c r="H13" s="5">
        <f t="shared" si="20"/>
        <v>25439</v>
      </c>
      <c r="I13" s="5">
        <f t="shared" si="20"/>
        <v>18368</v>
      </c>
      <c r="J13" s="5">
        <f t="shared" si="20"/>
        <v>19201</v>
      </c>
      <c r="K13" s="61">
        <f t="shared" si="0"/>
        <v>306995</v>
      </c>
      <c r="M13" s="114" t="s">
        <v>208</v>
      </c>
      <c r="N13" s="71">
        <v>6157</v>
      </c>
      <c r="O13" s="71">
        <v>153</v>
      </c>
      <c r="P13" s="71">
        <v>581</v>
      </c>
      <c r="Q13" s="71">
        <v>89</v>
      </c>
      <c r="R13" s="71">
        <v>3709</v>
      </c>
      <c r="S13" s="71">
        <v>43</v>
      </c>
      <c r="T13" s="71">
        <v>67</v>
      </c>
      <c r="U13" s="71">
        <v>2630</v>
      </c>
      <c r="V13" s="71">
        <v>1208</v>
      </c>
      <c r="W13" s="72">
        <f t="shared" si="1"/>
        <v>14637</v>
      </c>
      <c r="Y13" s="114" t="s">
        <v>208</v>
      </c>
      <c r="Z13" s="71">
        <v>6157</v>
      </c>
      <c r="AA13" s="71">
        <v>153</v>
      </c>
      <c r="AB13" s="71">
        <v>581</v>
      </c>
      <c r="AC13" s="71">
        <v>89</v>
      </c>
      <c r="AD13" s="71">
        <v>3709</v>
      </c>
      <c r="AE13" s="71">
        <v>43</v>
      </c>
      <c r="AF13" s="71">
        <v>67</v>
      </c>
      <c r="AG13" s="71">
        <v>2630</v>
      </c>
      <c r="AH13" s="71">
        <v>1208</v>
      </c>
      <c r="AI13" s="72">
        <f t="shared" si="2"/>
        <v>14637</v>
      </c>
      <c r="AK13" s="126"/>
      <c r="AL13" s="124" t="s">
        <v>82</v>
      </c>
      <c r="AM13" s="113" t="s">
        <v>83</v>
      </c>
      <c r="AN13" s="113" t="s">
        <v>84</v>
      </c>
      <c r="AO13" s="113" t="s">
        <v>85</v>
      </c>
      <c r="AP13" s="113" t="s">
        <v>86</v>
      </c>
      <c r="AQ13" s="113" t="s">
        <v>87</v>
      </c>
      <c r="AR13" s="113" t="s">
        <v>197</v>
      </c>
      <c r="AS13" s="113" t="s">
        <v>89</v>
      </c>
      <c r="AT13" s="118" t="s">
        <v>198</v>
      </c>
      <c r="AU13" s="91" t="s">
        <v>20</v>
      </c>
      <c r="AW13" s="3" t="s">
        <v>128</v>
      </c>
      <c r="AX13" s="62">
        <f>(AL19/AL43)*100</f>
        <v>1.0701765176210098</v>
      </c>
      <c r="AY13" s="62">
        <f aca="true" t="shared" si="21" ref="AY13:BG13">(AM19/AM43)*100</f>
        <v>0.6216006216006216</v>
      </c>
      <c r="AZ13" s="62">
        <f t="shared" si="21"/>
        <v>0.10775862068965517</v>
      </c>
      <c r="BA13" s="62">
        <f t="shared" si="21"/>
        <v>0.8039579468150896</v>
      </c>
      <c r="BB13" s="62">
        <f t="shared" si="21"/>
        <v>0.08486219995150732</v>
      </c>
      <c r="BC13" s="62">
        <f t="shared" si="21"/>
        <v>0.2403846153846154</v>
      </c>
      <c r="BD13" s="62">
        <f t="shared" si="21"/>
        <v>1.71473109898675</v>
      </c>
      <c r="BE13" s="62">
        <f t="shared" si="21"/>
        <v>1.652163403432439</v>
      </c>
      <c r="BF13" s="62">
        <f t="shared" si="21"/>
        <v>1.0158809138781772</v>
      </c>
      <c r="BG13" s="63">
        <f t="shared" si="21"/>
        <v>1.118259255036727</v>
      </c>
      <c r="BI13" s="68" t="s">
        <v>229</v>
      </c>
      <c r="BJ13" s="69">
        <v>5304</v>
      </c>
      <c r="BK13" s="69">
        <v>109</v>
      </c>
      <c r="BL13" s="69">
        <v>277</v>
      </c>
      <c r="BM13" s="69">
        <v>44</v>
      </c>
      <c r="BN13" s="69">
        <v>1553</v>
      </c>
      <c r="BO13" s="69">
        <v>50</v>
      </c>
      <c r="BP13" s="69">
        <v>76</v>
      </c>
      <c r="BQ13" s="69">
        <v>2926</v>
      </c>
      <c r="BR13" s="69">
        <v>902</v>
      </c>
      <c r="BS13" s="70">
        <f t="shared" si="3"/>
        <v>11241</v>
      </c>
      <c r="CT13" s="134" t="s">
        <v>92</v>
      </c>
      <c r="CU13" s="4">
        <v>642</v>
      </c>
      <c r="CV13" s="4">
        <v>5</v>
      </c>
      <c r="CW13" s="4">
        <v>13</v>
      </c>
      <c r="CX13" s="4">
        <v>4</v>
      </c>
      <c r="CY13" s="4">
        <v>25</v>
      </c>
      <c r="CZ13" s="4">
        <v>0</v>
      </c>
      <c r="DA13" s="4">
        <v>14</v>
      </c>
      <c r="DB13" s="4">
        <v>448</v>
      </c>
      <c r="DC13" s="4">
        <v>124</v>
      </c>
      <c r="DD13" s="61">
        <f t="shared" si="14"/>
        <v>1275</v>
      </c>
      <c r="DF13" s="134" t="s">
        <v>92</v>
      </c>
      <c r="DG13" s="11">
        <f t="shared" si="4"/>
        <v>50.35294117647059</v>
      </c>
      <c r="DH13" s="11">
        <f t="shared" si="5"/>
        <v>0.39215686274509803</v>
      </c>
      <c r="DI13" s="11">
        <f t="shared" si="6"/>
        <v>1.019607843137255</v>
      </c>
      <c r="DJ13" s="11">
        <f t="shared" si="7"/>
        <v>0.3137254901960784</v>
      </c>
      <c r="DK13" s="11">
        <f t="shared" si="8"/>
        <v>1.9607843137254901</v>
      </c>
      <c r="DL13" s="11">
        <f t="shared" si="9"/>
        <v>0</v>
      </c>
      <c r="DM13" s="11">
        <f t="shared" si="10"/>
        <v>1.0980392156862746</v>
      </c>
      <c r="DN13" s="11">
        <f t="shared" si="11"/>
        <v>35.13725490196079</v>
      </c>
      <c r="DO13" s="11">
        <f t="shared" si="12"/>
        <v>9.725490196078432</v>
      </c>
      <c r="DP13" s="133">
        <f t="shared" si="13"/>
        <v>100</v>
      </c>
    </row>
    <row r="14" spans="1:120" ht="15" customHeight="1">
      <c r="A14" s="57" t="s">
        <v>193</v>
      </c>
      <c r="B14" s="98"/>
      <c r="C14" s="98"/>
      <c r="D14" s="98"/>
      <c r="E14" s="98"/>
      <c r="F14" s="97"/>
      <c r="G14" s="97"/>
      <c r="H14" s="97"/>
      <c r="I14" s="97"/>
      <c r="J14" s="97"/>
      <c r="K14" s="58" t="s">
        <v>18</v>
      </c>
      <c r="M14" s="115" t="s">
        <v>209</v>
      </c>
      <c r="N14" s="4">
        <v>4333</v>
      </c>
      <c r="O14" s="4">
        <v>116</v>
      </c>
      <c r="P14" s="4">
        <v>493</v>
      </c>
      <c r="Q14" s="4">
        <v>71</v>
      </c>
      <c r="R14" s="4">
        <v>3327</v>
      </c>
      <c r="S14" s="4">
        <v>33</v>
      </c>
      <c r="T14" s="4">
        <v>33</v>
      </c>
      <c r="U14" s="4">
        <v>1704</v>
      </c>
      <c r="V14" s="4">
        <v>918</v>
      </c>
      <c r="W14" s="5">
        <f t="shared" si="1"/>
        <v>11028</v>
      </c>
      <c r="Y14" s="115" t="s">
        <v>209</v>
      </c>
      <c r="Z14" s="4">
        <v>4333</v>
      </c>
      <c r="AA14" s="4">
        <v>116</v>
      </c>
      <c r="AB14" s="4">
        <v>493</v>
      </c>
      <c r="AC14" s="4">
        <v>71</v>
      </c>
      <c r="AD14" s="4">
        <v>3327</v>
      </c>
      <c r="AE14" s="4">
        <v>33</v>
      </c>
      <c r="AF14" s="4">
        <v>33</v>
      </c>
      <c r="AG14" s="4">
        <v>1704</v>
      </c>
      <c r="AH14" s="4">
        <v>918</v>
      </c>
      <c r="AI14" s="5">
        <f t="shared" si="2"/>
        <v>11028</v>
      </c>
      <c r="AK14" s="67" t="s">
        <v>98</v>
      </c>
      <c r="AL14" s="71">
        <v>130950</v>
      </c>
      <c r="AM14" s="71">
        <v>968</v>
      </c>
      <c r="AN14" s="71">
        <v>2186</v>
      </c>
      <c r="AO14" s="71">
        <v>1282</v>
      </c>
      <c r="AP14" s="71">
        <v>11362</v>
      </c>
      <c r="AQ14" s="71">
        <v>486</v>
      </c>
      <c r="AR14" s="71">
        <v>915</v>
      </c>
      <c r="AS14" s="71">
        <v>70212</v>
      </c>
      <c r="AT14" s="71">
        <v>19605</v>
      </c>
      <c r="AU14" s="72">
        <f>AT14+AS14+AR14+AQ14+AP14+AO14+AN14+AM14+AL14</f>
        <v>237966</v>
      </c>
      <c r="AW14" s="3" t="s">
        <v>129</v>
      </c>
      <c r="AX14" s="62">
        <f>(AL20/AL43)*100</f>
        <v>0.005535395780798327</v>
      </c>
      <c r="AY14" s="62">
        <f aca="true" t="shared" si="22" ref="AY14:BG14">(AM20/AM43)*100</f>
        <v>0</v>
      </c>
      <c r="AZ14" s="62">
        <f t="shared" si="22"/>
        <v>0</v>
      </c>
      <c r="BA14" s="62">
        <f t="shared" si="22"/>
        <v>0</v>
      </c>
      <c r="BB14" s="62">
        <f t="shared" si="22"/>
        <v>0</v>
      </c>
      <c r="BC14" s="62">
        <f t="shared" si="22"/>
        <v>0</v>
      </c>
      <c r="BD14" s="62">
        <f t="shared" si="22"/>
        <v>0</v>
      </c>
      <c r="BE14" s="62">
        <f t="shared" si="22"/>
        <v>0.0024172105390379505</v>
      </c>
      <c r="BF14" s="62">
        <f t="shared" si="22"/>
        <v>0.012439358129120536</v>
      </c>
      <c r="BG14" s="63">
        <f t="shared" si="22"/>
        <v>0.0045603348588739235</v>
      </c>
      <c r="BI14" s="3" t="s">
        <v>230</v>
      </c>
      <c r="BJ14" s="105">
        <v>4514</v>
      </c>
      <c r="BK14" s="105">
        <v>91</v>
      </c>
      <c r="BL14" s="105">
        <v>207</v>
      </c>
      <c r="BM14" s="105">
        <v>40</v>
      </c>
      <c r="BN14" s="105">
        <v>1126</v>
      </c>
      <c r="BO14" s="105">
        <v>33</v>
      </c>
      <c r="BP14" s="105">
        <v>65</v>
      </c>
      <c r="BQ14" s="105">
        <v>2488</v>
      </c>
      <c r="BR14" s="105">
        <v>777</v>
      </c>
      <c r="BS14" s="6">
        <f t="shared" si="3"/>
        <v>9341</v>
      </c>
      <c r="CT14" s="134" t="s">
        <v>93</v>
      </c>
      <c r="CU14" s="4">
        <v>4570</v>
      </c>
      <c r="CV14" s="4">
        <v>12</v>
      </c>
      <c r="CW14" s="4">
        <v>6</v>
      </c>
      <c r="CX14" s="4">
        <v>8</v>
      </c>
      <c r="CY14" s="4">
        <v>50</v>
      </c>
      <c r="CZ14" s="4">
        <v>0</v>
      </c>
      <c r="DA14" s="4">
        <v>16</v>
      </c>
      <c r="DB14" s="4">
        <v>751</v>
      </c>
      <c r="DC14" s="4">
        <v>405</v>
      </c>
      <c r="DD14" s="61">
        <f t="shared" si="14"/>
        <v>5818</v>
      </c>
      <c r="DF14" s="134" t="s">
        <v>93</v>
      </c>
      <c r="DG14" s="11">
        <f t="shared" si="4"/>
        <v>78.54932966655208</v>
      </c>
      <c r="DH14" s="11">
        <f t="shared" si="5"/>
        <v>0.2062564455139223</v>
      </c>
      <c r="DI14" s="11">
        <f t="shared" si="6"/>
        <v>0.10312822275696115</v>
      </c>
      <c r="DJ14" s="11">
        <f t="shared" si="7"/>
        <v>0.13750429700928155</v>
      </c>
      <c r="DK14" s="11">
        <f t="shared" si="8"/>
        <v>0.8594018563080097</v>
      </c>
      <c r="DL14" s="11">
        <f t="shared" si="9"/>
        <v>0</v>
      </c>
      <c r="DM14" s="11">
        <f t="shared" si="10"/>
        <v>0.2750085940185631</v>
      </c>
      <c r="DN14" s="11">
        <f t="shared" si="11"/>
        <v>12.908215881746305</v>
      </c>
      <c r="DO14" s="11">
        <f t="shared" si="12"/>
        <v>6.961155036094878</v>
      </c>
      <c r="DP14" s="133">
        <f t="shared" si="13"/>
        <v>100</v>
      </c>
    </row>
    <row r="15" spans="1:120" ht="1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58" t="s">
        <v>31</v>
      </c>
      <c r="M15" s="115" t="s">
        <v>210</v>
      </c>
      <c r="N15" s="4">
        <v>1824</v>
      </c>
      <c r="O15" s="4">
        <v>37</v>
      </c>
      <c r="P15" s="4">
        <v>88</v>
      </c>
      <c r="Q15" s="4">
        <v>18</v>
      </c>
      <c r="R15" s="4">
        <v>382</v>
      </c>
      <c r="S15" s="4">
        <v>10</v>
      </c>
      <c r="T15" s="4">
        <v>34</v>
      </c>
      <c r="U15" s="4">
        <v>926</v>
      </c>
      <c r="V15" s="4">
        <v>290</v>
      </c>
      <c r="W15" s="5">
        <f t="shared" si="1"/>
        <v>3609</v>
      </c>
      <c r="Y15" s="115" t="s">
        <v>210</v>
      </c>
      <c r="Z15" s="4">
        <v>1824</v>
      </c>
      <c r="AA15" s="4">
        <v>37</v>
      </c>
      <c r="AB15" s="4">
        <v>88</v>
      </c>
      <c r="AC15" s="4">
        <v>18</v>
      </c>
      <c r="AD15" s="4">
        <v>382</v>
      </c>
      <c r="AE15" s="4">
        <v>10</v>
      </c>
      <c r="AF15" s="4">
        <v>34</v>
      </c>
      <c r="AG15" s="4">
        <v>926</v>
      </c>
      <c r="AH15" s="4">
        <v>290</v>
      </c>
      <c r="AI15" s="5">
        <f t="shared" si="2"/>
        <v>3609</v>
      </c>
      <c r="AK15" s="68" t="s">
        <v>124</v>
      </c>
      <c r="AL15" s="69">
        <v>105758</v>
      </c>
      <c r="AM15" s="69">
        <v>799</v>
      </c>
      <c r="AN15" s="69">
        <v>2097</v>
      </c>
      <c r="AO15" s="69">
        <v>1137</v>
      </c>
      <c r="AP15" s="69">
        <v>8899</v>
      </c>
      <c r="AQ15" s="69">
        <v>467</v>
      </c>
      <c r="AR15" s="69">
        <v>805</v>
      </c>
      <c r="AS15" s="69">
        <v>61980</v>
      </c>
      <c r="AT15" s="69">
        <v>16480</v>
      </c>
      <c r="AU15" s="70">
        <f aca="true" t="shared" si="23" ref="AU15:AU43">AT15+AS15+AR15+AQ15+AP15+AO15+AN15+AM15+AL15</f>
        <v>198422</v>
      </c>
      <c r="AW15" s="3" t="s">
        <v>130</v>
      </c>
      <c r="AX15" s="62">
        <f>(AL21/AL43)*100</f>
        <v>0.013530967464173689</v>
      </c>
      <c r="AY15" s="62">
        <f aca="true" t="shared" si="24" ref="AY15:BG15">(AM21/AM43)*100</f>
        <v>0</v>
      </c>
      <c r="AZ15" s="62">
        <f t="shared" si="24"/>
        <v>0.01539408866995074</v>
      </c>
      <c r="BA15" s="62">
        <f t="shared" si="24"/>
        <v>0</v>
      </c>
      <c r="BB15" s="62">
        <f t="shared" si="24"/>
        <v>0.08486219995150732</v>
      </c>
      <c r="BC15" s="62">
        <f t="shared" si="24"/>
        <v>0</v>
      </c>
      <c r="BD15" s="62">
        <f t="shared" si="24"/>
        <v>0</v>
      </c>
      <c r="BE15" s="62">
        <f t="shared" si="24"/>
        <v>0.013294657964708727</v>
      </c>
      <c r="BF15" s="62">
        <f t="shared" si="24"/>
        <v>0.02902516896794792</v>
      </c>
      <c r="BG15" s="63">
        <f t="shared" si="24"/>
        <v>0.02019576866072737</v>
      </c>
      <c r="BI15" s="3" t="s">
        <v>231</v>
      </c>
      <c r="BJ15" s="105">
        <v>790</v>
      </c>
      <c r="BK15" s="105">
        <v>18</v>
      </c>
      <c r="BL15" s="105">
        <v>70</v>
      </c>
      <c r="BM15" s="105">
        <v>4</v>
      </c>
      <c r="BN15" s="105">
        <v>427</v>
      </c>
      <c r="BO15" s="105">
        <v>17</v>
      </c>
      <c r="BP15" s="105">
        <v>11</v>
      </c>
      <c r="BQ15" s="105">
        <v>438</v>
      </c>
      <c r="BR15" s="105">
        <v>125</v>
      </c>
      <c r="BS15" s="6">
        <f t="shared" si="3"/>
        <v>1900</v>
      </c>
      <c r="CT15" s="134" t="s">
        <v>94</v>
      </c>
      <c r="CU15" s="4">
        <v>349</v>
      </c>
      <c r="CV15" s="4">
        <v>8</v>
      </c>
      <c r="CW15" s="4">
        <v>1</v>
      </c>
      <c r="CX15" s="4">
        <v>0</v>
      </c>
      <c r="CY15" s="4">
        <v>1</v>
      </c>
      <c r="CZ15" s="4">
        <v>0</v>
      </c>
      <c r="DA15" s="4">
        <v>5</v>
      </c>
      <c r="DB15" s="4">
        <v>126</v>
      </c>
      <c r="DC15" s="4">
        <v>37</v>
      </c>
      <c r="DD15" s="61">
        <f t="shared" si="14"/>
        <v>527</v>
      </c>
      <c r="DF15" s="134" t="s">
        <v>94</v>
      </c>
      <c r="DG15" s="11">
        <f t="shared" si="4"/>
        <v>66.22390891840607</v>
      </c>
      <c r="DH15" s="11">
        <f t="shared" si="5"/>
        <v>1.5180265654648957</v>
      </c>
      <c r="DI15" s="11">
        <f t="shared" si="6"/>
        <v>0.18975332068311196</v>
      </c>
      <c r="DJ15" s="11">
        <f t="shared" si="7"/>
        <v>0</v>
      </c>
      <c r="DK15" s="11">
        <f t="shared" si="8"/>
        <v>0.18975332068311196</v>
      </c>
      <c r="DL15" s="11">
        <f t="shared" si="9"/>
        <v>0</v>
      </c>
      <c r="DM15" s="11">
        <f t="shared" si="10"/>
        <v>0.9487666034155597</v>
      </c>
      <c r="DN15" s="11">
        <f t="shared" si="11"/>
        <v>23.908918406072104</v>
      </c>
      <c r="DO15" s="11">
        <f t="shared" si="12"/>
        <v>7.020872865275142</v>
      </c>
      <c r="DP15" s="133">
        <f t="shared" si="13"/>
        <v>99.99999999999999</v>
      </c>
    </row>
    <row r="16" spans="1:120" ht="15">
      <c r="A16" s="56" t="s">
        <v>194</v>
      </c>
      <c r="B16" s="97"/>
      <c r="C16" s="97"/>
      <c r="D16" s="97"/>
      <c r="E16" s="97"/>
      <c r="F16" s="97"/>
      <c r="G16" s="97"/>
      <c r="H16" s="97"/>
      <c r="I16" s="97"/>
      <c r="J16" s="97"/>
      <c r="K16" s="111"/>
      <c r="M16" s="114" t="s">
        <v>211</v>
      </c>
      <c r="N16" s="71">
        <v>9260</v>
      </c>
      <c r="O16" s="71">
        <v>315</v>
      </c>
      <c r="P16" s="71">
        <v>723</v>
      </c>
      <c r="Q16" s="71">
        <v>83</v>
      </c>
      <c r="R16" s="71">
        <v>3336</v>
      </c>
      <c r="S16" s="71">
        <v>99</v>
      </c>
      <c r="T16" s="71">
        <v>111</v>
      </c>
      <c r="U16" s="71">
        <v>6253</v>
      </c>
      <c r="V16" s="71">
        <v>1572</v>
      </c>
      <c r="W16" s="72">
        <f t="shared" si="1"/>
        <v>21752</v>
      </c>
      <c r="Y16" s="114" t="s">
        <v>211</v>
      </c>
      <c r="Z16" s="71">
        <v>9260</v>
      </c>
      <c r="AA16" s="71">
        <v>315</v>
      </c>
      <c r="AB16" s="71">
        <v>723</v>
      </c>
      <c r="AC16" s="71">
        <v>83</v>
      </c>
      <c r="AD16" s="71">
        <v>3336</v>
      </c>
      <c r="AE16" s="71">
        <v>99</v>
      </c>
      <c r="AF16" s="71">
        <v>111</v>
      </c>
      <c r="AG16" s="71">
        <v>6253</v>
      </c>
      <c r="AH16" s="71">
        <v>1572</v>
      </c>
      <c r="AI16" s="72">
        <f t="shared" si="2"/>
        <v>21752</v>
      </c>
      <c r="AK16" s="3" t="s">
        <v>125</v>
      </c>
      <c r="AL16" s="105">
        <v>99632</v>
      </c>
      <c r="AM16" s="105">
        <v>742</v>
      </c>
      <c r="AN16" s="105">
        <v>2074</v>
      </c>
      <c r="AO16" s="105">
        <v>1107</v>
      </c>
      <c r="AP16" s="105">
        <v>8784</v>
      </c>
      <c r="AQ16" s="105">
        <v>462</v>
      </c>
      <c r="AR16" s="105">
        <v>760</v>
      </c>
      <c r="AS16" s="105">
        <v>58128</v>
      </c>
      <c r="AT16" s="105">
        <v>15694</v>
      </c>
      <c r="AU16" s="6">
        <f t="shared" si="23"/>
        <v>187383</v>
      </c>
      <c r="AW16" s="68" t="s">
        <v>100</v>
      </c>
      <c r="AX16" s="77">
        <f>(AL22/AL43)*100</f>
        <v>2.8082907927916843</v>
      </c>
      <c r="AY16" s="77">
        <f aca="true" t="shared" si="25" ref="AY16:BG16">(AM22/AM43)*100</f>
        <v>0.5050505050505051</v>
      </c>
      <c r="AZ16" s="77">
        <f t="shared" si="25"/>
        <v>0.0769704433497537</v>
      </c>
      <c r="BA16" s="77">
        <f t="shared" si="25"/>
        <v>0.30921459492888065</v>
      </c>
      <c r="BB16" s="77">
        <f t="shared" si="25"/>
        <v>0.15760122848137073</v>
      </c>
      <c r="BC16" s="77">
        <f t="shared" si="25"/>
        <v>0</v>
      </c>
      <c r="BD16" s="77">
        <f t="shared" si="25"/>
        <v>1.0132501948558068</v>
      </c>
      <c r="BE16" s="77">
        <f t="shared" si="25"/>
        <v>0.8399806623156878</v>
      </c>
      <c r="BF16" s="77">
        <f t="shared" si="25"/>
        <v>1.8451714558195462</v>
      </c>
      <c r="BG16" s="80">
        <f t="shared" si="25"/>
        <v>1.883092558510725</v>
      </c>
      <c r="BI16" s="67" t="s">
        <v>232</v>
      </c>
      <c r="BJ16" s="71">
        <v>36505</v>
      </c>
      <c r="BK16" s="71">
        <v>706</v>
      </c>
      <c r="BL16" s="71">
        <v>1820</v>
      </c>
      <c r="BM16" s="71">
        <v>502</v>
      </c>
      <c r="BN16" s="71">
        <v>7603</v>
      </c>
      <c r="BO16" s="71">
        <v>214</v>
      </c>
      <c r="BP16" s="71">
        <v>335</v>
      </c>
      <c r="BQ16" s="71">
        <v>12315</v>
      </c>
      <c r="BR16" s="71">
        <v>5309</v>
      </c>
      <c r="BS16" s="72">
        <f t="shared" si="3"/>
        <v>65309</v>
      </c>
      <c r="CT16" s="134" t="s">
        <v>250</v>
      </c>
      <c r="CU16" s="4">
        <v>34613</v>
      </c>
      <c r="CV16" s="4">
        <v>1163</v>
      </c>
      <c r="CW16" s="4">
        <v>1834</v>
      </c>
      <c r="CX16" s="4">
        <v>274</v>
      </c>
      <c r="CY16" s="4">
        <v>8222</v>
      </c>
      <c r="CZ16" s="4">
        <v>120</v>
      </c>
      <c r="DA16" s="4">
        <v>267</v>
      </c>
      <c r="DB16" s="4">
        <v>14210</v>
      </c>
      <c r="DC16" s="4">
        <v>4628</v>
      </c>
      <c r="DD16" s="61">
        <f t="shared" si="14"/>
        <v>65331</v>
      </c>
      <c r="DF16" s="134" t="s">
        <v>250</v>
      </c>
      <c r="DG16" s="11">
        <f t="shared" si="4"/>
        <v>52.98097381028914</v>
      </c>
      <c r="DH16" s="11">
        <f t="shared" si="5"/>
        <v>1.7801656181598322</v>
      </c>
      <c r="DI16" s="11">
        <f t="shared" si="6"/>
        <v>2.8072431158255653</v>
      </c>
      <c r="DJ16" s="11">
        <f t="shared" si="7"/>
        <v>0.4194027337711041</v>
      </c>
      <c r="DK16" s="11">
        <f t="shared" si="8"/>
        <v>12.585143346956269</v>
      </c>
      <c r="DL16" s="11">
        <f t="shared" si="9"/>
        <v>0.1836800293888047</v>
      </c>
      <c r="DM16" s="11">
        <f t="shared" si="10"/>
        <v>0.4086880653900905</v>
      </c>
      <c r="DN16" s="11">
        <f t="shared" si="11"/>
        <v>21.750776813457623</v>
      </c>
      <c r="DO16" s="11">
        <f t="shared" si="12"/>
        <v>7.083926466761568</v>
      </c>
      <c r="DP16" s="133">
        <f t="shared" si="13"/>
        <v>100</v>
      </c>
    </row>
    <row r="17" spans="1:120" ht="15">
      <c r="A17" s="17" t="s">
        <v>81</v>
      </c>
      <c r="B17" s="259" t="s">
        <v>28</v>
      </c>
      <c r="C17" s="261"/>
      <c r="D17" s="261"/>
      <c r="E17" s="261"/>
      <c r="F17" s="261"/>
      <c r="G17" s="261"/>
      <c r="H17" s="261"/>
      <c r="I17" s="261"/>
      <c r="J17" s="262"/>
      <c r="K17" s="112"/>
      <c r="M17" s="115" t="s">
        <v>212</v>
      </c>
      <c r="N17" s="4">
        <v>9260</v>
      </c>
      <c r="O17" s="4">
        <v>315</v>
      </c>
      <c r="P17" s="4">
        <v>723</v>
      </c>
      <c r="Q17" s="4">
        <v>83</v>
      </c>
      <c r="R17" s="4">
        <v>3336</v>
      </c>
      <c r="S17" s="4">
        <v>99</v>
      </c>
      <c r="T17" s="4">
        <v>111</v>
      </c>
      <c r="U17" s="4">
        <v>6253</v>
      </c>
      <c r="V17" s="4">
        <v>1572</v>
      </c>
      <c r="W17" s="5">
        <f t="shared" si="1"/>
        <v>21752</v>
      </c>
      <c r="Y17" s="115" t="s">
        <v>212</v>
      </c>
      <c r="Z17" s="4">
        <v>9260</v>
      </c>
      <c r="AA17" s="4">
        <v>315</v>
      </c>
      <c r="AB17" s="4">
        <v>723</v>
      </c>
      <c r="AC17" s="4">
        <v>83</v>
      </c>
      <c r="AD17" s="4">
        <v>3336</v>
      </c>
      <c r="AE17" s="4">
        <v>99</v>
      </c>
      <c r="AF17" s="4">
        <v>111</v>
      </c>
      <c r="AG17" s="4">
        <v>6253</v>
      </c>
      <c r="AH17" s="4">
        <v>1572</v>
      </c>
      <c r="AI17" s="5">
        <f t="shared" si="2"/>
        <v>21752</v>
      </c>
      <c r="AK17" s="3" t="s">
        <v>126</v>
      </c>
      <c r="AL17" s="105">
        <v>1360</v>
      </c>
      <c r="AM17" s="105">
        <v>8</v>
      </c>
      <c r="AN17" s="105">
        <v>5</v>
      </c>
      <c r="AO17" s="105">
        <v>1</v>
      </c>
      <c r="AP17" s="105">
        <v>8</v>
      </c>
      <c r="AQ17" s="105">
        <v>0</v>
      </c>
      <c r="AR17" s="105">
        <v>7</v>
      </c>
      <c r="AS17" s="105">
        <v>419</v>
      </c>
      <c r="AT17" s="105">
        <v>126</v>
      </c>
      <c r="AU17" s="6">
        <f t="shared" si="23"/>
        <v>1934</v>
      </c>
      <c r="AW17" s="68" t="s">
        <v>101</v>
      </c>
      <c r="AX17" s="77">
        <f>(AL23/AL43)*100</f>
        <v>12.685897041638478</v>
      </c>
      <c r="AY17" s="77">
        <f aca="true" t="shared" si="26" ref="AY17:BG17">(AM23/AM43)*100</f>
        <v>6.0606060606060606</v>
      </c>
      <c r="AZ17" s="77">
        <f t="shared" si="26"/>
        <v>1.293103448275862</v>
      </c>
      <c r="BA17" s="77">
        <f t="shared" si="26"/>
        <v>8.658008658008658</v>
      </c>
      <c r="BB17" s="77">
        <f t="shared" si="26"/>
        <v>9.795522508688274</v>
      </c>
      <c r="BC17" s="77">
        <f t="shared" si="26"/>
        <v>2.283653846153846</v>
      </c>
      <c r="BD17" s="77">
        <f t="shared" si="26"/>
        <v>7.560405300077942</v>
      </c>
      <c r="BE17" s="77">
        <f t="shared" si="26"/>
        <v>9.109257916364516</v>
      </c>
      <c r="BF17" s="77">
        <f t="shared" si="26"/>
        <v>11.112493262014347</v>
      </c>
      <c r="BG17" s="80">
        <f t="shared" si="26"/>
        <v>10.997898988582875</v>
      </c>
      <c r="BI17" s="3" t="s">
        <v>233</v>
      </c>
      <c r="BJ17" s="105">
        <v>17738</v>
      </c>
      <c r="BK17" s="105">
        <v>218</v>
      </c>
      <c r="BL17" s="105">
        <v>744</v>
      </c>
      <c r="BM17" s="105">
        <v>300</v>
      </c>
      <c r="BN17" s="105">
        <v>1305</v>
      </c>
      <c r="BO17" s="105">
        <v>80</v>
      </c>
      <c r="BP17" s="105">
        <v>113</v>
      </c>
      <c r="BQ17" s="105">
        <v>3104</v>
      </c>
      <c r="BR17" s="105">
        <v>2237</v>
      </c>
      <c r="BS17" s="6">
        <f t="shared" si="3"/>
        <v>25839</v>
      </c>
      <c r="CT17" s="134" t="s">
        <v>95</v>
      </c>
      <c r="CU17" s="4">
        <v>3877</v>
      </c>
      <c r="CV17" s="4">
        <v>103</v>
      </c>
      <c r="CW17" s="4">
        <v>169</v>
      </c>
      <c r="CX17" s="4">
        <v>67</v>
      </c>
      <c r="CY17" s="4">
        <v>785</v>
      </c>
      <c r="CZ17" s="4">
        <v>27</v>
      </c>
      <c r="DA17" s="4">
        <v>35</v>
      </c>
      <c r="DB17" s="4">
        <v>1774</v>
      </c>
      <c r="DC17" s="4">
        <v>656</v>
      </c>
      <c r="DD17" s="61">
        <f t="shared" si="14"/>
        <v>7493</v>
      </c>
      <c r="DF17" s="134" t="s">
        <v>95</v>
      </c>
      <c r="DG17" s="11">
        <f t="shared" si="4"/>
        <v>51.74162551714934</v>
      </c>
      <c r="DH17" s="11">
        <f t="shared" si="5"/>
        <v>1.374616308554651</v>
      </c>
      <c r="DI17" s="11">
        <f t="shared" si="6"/>
        <v>2.2554384091819033</v>
      </c>
      <c r="DJ17" s="11">
        <f t="shared" si="7"/>
        <v>0.8941678900306954</v>
      </c>
      <c r="DK17" s="11">
        <f t="shared" si="8"/>
        <v>10.476444681702922</v>
      </c>
      <c r="DL17" s="11">
        <f t="shared" si="9"/>
        <v>0.3603363138929668</v>
      </c>
      <c r="DM17" s="11">
        <f t="shared" si="10"/>
        <v>0.46710262912051254</v>
      </c>
      <c r="DN17" s="11">
        <f t="shared" si="11"/>
        <v>23.67543040170826</v>
      </c>
      <c r="DO17" s="11">
        <f t="shared" si="12"/>
        <v>8.754837848658747</v>
      </c>
      <c r="DP17" s="133">
        <f t="shared" si="13"/>
        <v>100</v>
      </c>
    </row>
    <row r="18" spans="1:120" ht="15">
      <c r="A18" s="55"/>
      <c r="B18" s="2" t="s">
        <v>178</v>
      </c>
      <c r="C18" s="108" t="s">
        <v>179</v>
      </c>
      <c r="D18" s="109" t="s">
        <v>180</v>
      </c>
      <c r="E18" s="110" t="s">
        <v>181</v>
      </c>
      <c r="F18" s="2" t="s">
        <v>182</v>
      </c>
      <c r="G18" s="2" t="s">
        <v>183</v>
      </c>
      <c r="H18" s="2" t="s">
        <v>184</v>
      </c>
      <c r="I18" s="2" t="s">
        <v>185</v>
      </c>
      <c r="J18" s="51" t="s">
        <v>186</v>
      </c>
      <c r="K18" s="91" t="s">
        <v>20</v>
      </c>
      <c r="M18" s="115" t="s">
        <v>213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5">
        <f t="shared" si="1"/>
        <v>0</v>
      </c>
      <c r="Y18" s="115" t="s">
        <v>213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5">
        <f t="shared" si="2"/>
        <v>0</v>
      </c>
      <c r="AK18" s="3" t="s">
        <v>127</v>
      </c>
      <c r="AL18" s="105">
        <v>2995</v>
      </c>
      <c r="AM18" s="105">
        <v>33</v>
      </c>
      <c r="AN18" s="105">
        <v>10</v>
      </c>
      <c r="AO18" s="105">
        <v>16</v>
      </c>
      <c r="AP18" s="105">
        <v>65</v>
      </c>
      <c r="AQ18" s="105">
        <v>3</v>
      </c>
      <c r="AR18" s="105">
        <v>16</v>
      </c>
      <c r="AS18" s="105">
        <v>2053</v>
      </c>
      <c r="AT18" s="105">
        <v>405</v>
      </c>
      <c r="AU18" s="6">
        <f t="shared" si="23"/>
        <v>5596</v>
      </c>
      <c r="AW18" s="73" t="s">
        <v>102</v>
      </c>
      <c r="AX18" s="78">
        <f>(AL24/AL43)*100</f>
        <v>11.525924103573406</v>
      </c>
      <c r="AY18" s="78">
        <f aca="true" t="shared" si="27" ref="AY18:BG18">(AM24/AM43)*100</f>
        <v>5.594405594405594</v>
      </c>
      <c r="AZ18" s="78">
        <f t="shared" si="27"/>
        <v>1.1545566502463054</v>
      </c>
      <c r="BA18" s="78">
        <f t="shared" si="27"/>
        <v>6.802721088435375</v>
      </c>
      <c r="BB18" s="78">
        <f t="shared" si="27"/>
        <v>6.5061019962822275</v>
      </c>
      <c r="BC18" s="78">
        <f t="shared" si="27"/>
        <v>2.1634615384615383</v>
      </c>
      <c r="BD18" s="78">
        <f t="shared" si="27"/>
        <v>6.858924395947</v>
      </c>
      <c r="BE18" s="78">
        <f t="shared" si="27"/>
        <v>7.748368382886149</v>
      </c>
      <c r="BF18" s="78">
        <f t="shared" si="27"/>
        <v>9.325372144130696</v>
      </c>
      <c r="BG18" s="81">
        <f t="shared" si="27"/>
        <v>9.591361422824477</v>
      </c>
      <c r="BI18" s="3" t="s">
        <v>234</v>
      </c>
      <c r="BJ18" s="105">
        <v>6066</v>
      </c>
      <c r="BK18" s="105">
        <v>215</v>
      </c>
      <c r="BL18" s="105">
        <v>437</v>
      </c>
      <c r="BM18" s="105">
        <v>64</v>
      </c>
      <c r="BN18" s="105">
        <v>2344</v>
      </c>
      <c r="BO18" s="105">
        <v>59</v>
      </c>
      <c r="BP18" s="105">
        <v>76</v>
      </c>
      <c r="BQ18" s="105">
        <v>4262</v>
      </c>
      <c r="BR18" s="105">
        <v>1120</v>
      </c>
      <c r="BS18" s="6">
        <f t="shared" si="3"/>
        <v>14643</v>
      </c>
      <c r="CT18" s="127" t="s">
        <v>20</v>
      </c>
      <c r="CU18" s="61">
        <f>SUM(CU4:CU17)</f>
        <v>162590</v>
      </c>
      <c r="CV18" s="61">
        <f>SUM(CV4:CV17)</f>
        <v>2574</v>
      </c>
      <c r="CW18" s="61">
        <f aca="true" t="shared" si="28" ref="CW18:DC18">SUM(CW4:CW17)</f>
        <v>6496</v>
      </c>
      <c r="CX18" s="61">
        <f t="shared" si="28"/>
        <v>1617</v>
      </c>
      <c r="CY18" s="61">
        <f t="shared" si="28"/>
        <v>24746</v>
      </c>
      <c r="CZ18" s="61">
        <f t="shared" si="28"/>
        <v>832</v>
      </c>
      <c r="DA18" s="61">
        <f t="shared" si="28"/>
        <v>1283</v>
      </c>
      <c r="DB18" s="61">
        <f t="shared" si="28"/>
        <v>82740</v>
      </c>
      <c r="DC18" s="61">
        <f t="shared" si="28"/>
        <v>24117</v>
      </c>
      <c r="DD18" s="61">
        <f t="shared" si="14"/>
        <v>306995</v>
      </c>
      <c r="DF18" s="127" t="s">
        <v>20</v>
      </c>
      <c r="DG18" s="11">
        <f t="shared" si="4"/>
        <v>52.96177462173651</v>
      </c>
      <c r="DH18" s="11">
        <f t="shared" si="5"/>
        <v>0.8384501376243914</v>
      </c>
      <c r="DI18" s="11">
        <f t="shared" si="6"/>
        <v>2.1159953745175004</v>
      </c>
      <c r="DJ18" s="11">
        <f t="shared" si="7"/>
        <v>0.5267186761999382</v>
      </c>
      <c r="DK18" s="11">
        <f t="shared" si="8"/>
        <v>8.060717601263864</v>
      </c>
      <c r="DL18" s="11">
        <f t="shared" si="9"/>
        <v>0.2710141858987931</v>
      </c>
      <c r="DM18" s="11">
        <f t="shared" si="10"/>
        <v>0.4179221159953745</v>
      </c>
      <c r="DN18" s="11">
        <f t="shared" si="11"/>
        <v>26.951579015944887</v>
      </c>
      <c r="DO18" s="11">
        <f t="shared" si="12"/>
        <v>7.855828270818743</v>
      </c>
      <c r="DP18" s="133">
        <f t="shared" si="13"/>
        <v>100.00000000000001</v>
      </c>
    </row>
    <row r="19" spans="1:120" ht="15">
      <c r="A19" s="3" t="s">
        <v>82</v>
      </c>
      <c r="B19" s="11">
        <f aca="true" t="shared" si="29" ref="B19:K19">(B4/B13)*100</f>
        <v>51.50921531839753</v>
      </c>
      <c r="C19" s="11">
        <f t="shared" si="29"/>
        <v>50.7451564828614</v>
      </c>
      <c r="D19" s="11">
        <f t="shared" si="29"/>
        <v>44.686085416256645</v>
      </c>
      <c r="E19" s="11">
        <f t="shared" si="29"/>
        <v>46.140504258559424</v>
      </c>
      <c r="F19" s="11">
        <f t="shared" si="29"/>
        <v>51.97232707932811</v>
      </c>
      <c r="G19" s="11">
        <f t="shared" si="29"/>
        <v>55.132621426110916</v>
      </c>
      <c r="H19" s="11">
        <f t="shared" si="29"/>
        <v>57.95825307598569</v>
      </c>
      <c r="I19" s="11">
        <f t="shared" si="29"/>
        <v>62.80487804878049</v>
      </c>
      <c r="J19" s="11">
        <f t="shared" si="29"/>
        <v>70.02239466694444</v>
      </c>
      <c r="K19" s="31">
        <f t="shared" si="29"/>
        <v>52.96177462173651</v>
      </c>
      <c r="M19" s="119" t="s">
        <v>48</v>
      </c>
      <c r="N19" s="49">
        <f>SUM(N4+N7+N8+N9+N10+N11+N12+N13+N16)</f>
        <v>136430</v>
      </c>
      <c r="O19" s="49">
        <f aca="true" t="shared" si="30" ref="O19:W19">SUM(O4+O7+O8+O9+O10+O11+O12+O13+O16)</f>
        <v>2378</v>
      </c>
      <c r="P19" s="49">
        <f t="shared" si="30"/>
        <v>5565</v>
      </c>
      <c r="Q19" s="49">
        <f t="shared" si="30"/>
        <v>1436</v>
      </c>
      <c r="R19" s="49">
        <f t="shared" si="30"/>
        <v>16778</v>
      </c>
      <c r="S19" s="49">
        <f t="shared" si="30"/>
        <v>721</v>
      </c>
      <c r="T19" s="49">
        <f t="shared" si="30"/>
        <v>1209</v>
      </c>
      <c r="U19" s="49">
        <f t="shared" si="30"/>
        <v>72142</v>
      </c>
      <c r="V19" s="49">
        <f t="shared" si="30"/>
        <v>19330</v>
      </c>
      <c r="W19" s="49">
        <f t="shared" si="30"/>
        <v>255989</v>
      </c>
      <c r="Y19" s="119" t="s">
        <v>48</v>
      </c>
      <c r="Z19" s="49">
        <f>SUM(Z4+Z7+Z8+Z9+Z10+Z11+Z12+Z13+Z16)</f>
        <v>136430</v>
      </c>
      <c r="AA19" s="49">
        <f aca="true" t="shared" si="31" ref="AA19:AI19">SUM(AA4+AA7+AA8+AA9+AA10+AA11+AA12+AA13+AA16)</f>
        <v>2378</v>
      </c>
      <c r="AB19" s="49">
        <f t="shared" si="31"/>
        <v>5565</v>
      </c>
      <c r="AC19" s="49">
        <f t="shared" si="31"/>
        <v>1436</v>
      </c>
      <c r="AD19" s="49">
        <f t="shared" si="31"/>
        <v>16778</v>
      </c>
      <c r="AE19" s="49">
        <f t="shared" si="31"/>
        <v>721</v>
      </c>
      <c r="AF19" s="49">
        <f t="shared" si="31"/>
        <v>1209</v>
      </c>
      <c r="AG19" s="49">
        <f t="shared" si="31"/>
        <v>72142</v>
      </c>
      <c r="AH19" s="49">
        <f t="shared" si="31"/>
        <v>19330</v>
      </c>
      <c r="AI19" s="49">
        <f t="shared" si="31"/>
        <v>255989</v>
      </c>
      <c r="AK19" s="3" t="s">
        <v>128</v>
      </c>
      <c r="AL19" s="105">
        <v>1740</v>
      </c>
      <c r="AM19" s="105">
        <v>16</v>
      </c>
      <c r="AN19" s="105">
        <v>7</v>
      </c>
      <c r="AO19" s="105">
        <v>13</v>
      </c>
      <c r="AP19" s="105">
        <v>21</v>
      </c>
      <c r="AQ19" s="105">
        <v>2</v>
      </c>
      <c r="AR19" s="105">
        <v>22</v>
      </c>
      <c r="AS19" s="105">
        <v>1367</v>
      </c>
      <c r="AT19" s="105">
        <v>245</v>
      </c>
      <c r="AU19" s="6">
        <f t="shared" si="23"/>
        <v>3433</v>
      </c>
      <c r="AW19" s="3" t="s">
        <v>103</v>
      </c>
      <c r="AX19" s="62">
        <f>(AL25/AL43)*100</f>
        <v>5.93886462882096</v>
      </c>
      <c r="AY19" s="62">
        <f aca="true" t="shared" si="32" ref="AY19:BG19">(AM25/AM43)*100</f>
        <v>2.7195027195027195</v>
      </c>
      <c r="AZ19" s="62">
        <f t="shared" si="32"/>
        <v>1.1083743842364533</v>
      </c>
      <c r="BA19" s="62">
        <f t="shared" si="32"/>
        <v>4.885590599876314</v>
      </c>
      <c r="BB19" s="62">
        <f t="shared" si="32"/>
        <v>5.802958053826881</v>
      </c>
      <c r="BC19" s="62">
        <f t="shared" si="32"/>
        <v>2.1634615384615383</v>
      </c>
      <c r="BD19" s="62">
        <f t="shared" si="32"/>
        <v>5.144193296960249</v>
      </c>
      <c r="BE19" s="62">
        <f t="shared" si="32"/>
        <v>5.703408266860043</v>
      </c>
      <c r="BF19" s="62">
        <f t="shared" si="32"/>
        <v>6.248704233528216</v>
      </c>
      <c r="BG19" s="63">
        <f t="shared" si="32"/>
        <v>5.740484372709654</v>
      </c>
      <c r="BI19" s="3" t="s">
        <v>235</v>
      </c>
      <c r="BJ19" s="106">
        <v>5406</v>
      </c>
      <c r="BK19" s="106">
        <v>110</v>
      </c>
      <c r="BL19" s="106">
        <v>285</v>
      </c>
      <c r="BM19" s="106">
        <v>46</v>
      </c>
      <c r="BN19" s="106">
        <v>2008</v>
      </c>
      <c r="BO19" s="106">
        <v>27</v>
      </c>
      <c r="BP19" s="106">
        <v>34</v>
      </c>
      <c r="BQ19" s="106">
        <v>1958</v>
      </c>
      <c r="BR19" s="106">
        <v>600</v>
      </c>
      <c r="BS19" s="6">
        <f t="shared" si="3"/>
        <v>10474</v>
      </c>
      <c r="CT19" s="57" t="s">
        <v>251</v>
      </c>
      <c r="CU19" s="59"/>
      <c r="CV19" s="59"/>
      <c r="CW19" s="59"/>
      <c r="CX19" s="59"/>
      <c r="CY19" s="59"/>
      <c r="CZ19" s="59"/>
      <c r="DA19" s="59"/>
      <c r="DB19" s="59"/>
      <c r="DC19" s="59"/>
      <c r="DD19" s="58" t="s">
        <v>18</v>
      </c>
      <c r="DF19" s="57" t="s">
        <v>251</v>
      </c>
      <c r="DG19" s="59"/>
      <c r="DH19" s="59"/>
      <c r="DI19" s="59"/>
      <c r="DJ19" s="59"/>
      <c r="DK19" s="59"/>
      <c r="DL19" s="59"/>
      <c r="DM19" s="59"/>
      <c r="DN19" s="59"/>
      <c r="DO19" s="59"/>
      <c r="DP19" s="58" t="s">
        <v>18</v>
      </c>
    </row>
    <row r="20" spans="1:120" ht="15">
      <c r="A20" s="3" t="s">
        <v>83</v>
      </c>
      <c r="B20" s="11">
        <f aca="true" t="shared" si="33" ref="B20:K20">(B5/B13)*100</f>
        <v>0.33660743847257474</v>
      </c>
      <c r="C20" s="11">
        <f t="shared" si="33"/>
        <v>0.5012870884703969</v>
      </c>
      <c r="D20" s="11">
        <f t="shared" si="33"/>
        <v>0.5904349537492619</v>
      </c>
      <c r="E20" s="11">
        <f t="shared" si="33"/>
        <v>0.7586440295560946</v>
      </c>
      <c r="F20" s="11">
        <f t="shared" si="33"/>
        <v>0.9837077784482395</v>
      </c>
      <c r="G20" s="11">
        <f t="shared" si="33"/>
        <v>1.090005413119433</v>
      </c>
      <c r="H20" s="11">
        <f t="shared" si="33"/>
        <v>1.265773025669248</v>
      </c>
      <c r="I20" s="11">
        <f t="shared" si="33"/>
        <v>1.208623693379791</v>
      </c>
      <c r="J20" s="11">
        <f t="shared" si="33"/>
        <v>0.47914171136919953</v>
      </c>
      <c r="K20" s="12">
        <f t="shared" si="33"/>
        <v>0.8384501376243914</v>
      </c>
      <c r="M20" s="117" t="s">
        <v>215</v>
      </c>
      <c r="N20" s="97"/>
      <c r="O20" s="97"/>
      <c r="P20" s="97"/>
      <c r="Q20" s="97"/>
      <c r="R20" s="97"/>
      <c r="S20" s="97"/>
      <c r="T20" s="97"/>
      <c r="U20" s="97"/>
      <c r="V20" s="97"/>
      <c r="W20" s="58" t="s">
        <v>18</v>
      </c>
      <c r="Y20" s="117" t="s">
        <v>215</v>
      </c>
      <c r="Z20" s="97"/>
      <c r="AA20" s="97"/>
      <c r="AB20" s="97"/>
      <c r="AC20" s="97"/>
      <c r="AD20" s="97"/>
      <c r="AE20" s="97"/>
      <c r="AF20" s="97"/>
      <c r="AG20" s="97"/>
      <c r="AH20" s="97"/>
      <c r="AI20" s="58" t="s">
        <v>18</v>
      </c>
      <c r="AK20" s="3" t="s">
        <v>129</v>
      </c>
      <c r="AL20" s="105">
        <v>9</v>
      </c>
      <c r="AM20" s="105">
        <v>0</v>
      </c>
      <c r="AN20" s="105">
        <v>0</v>
      </c>
      <c r="AO20" s="105">
        <v>0</v>
      </c>
      <c r="AP20" s="105">
        <v>0</v>
      </c>
      <c r="AQ20" s="105">
        <v>0</v>
      </c>
      <c r="AR20" s="105">
        <v>0</v>
      </c>
      <c r="AS20" s="105">
        <v>2</v>
      </c>
      <c r="AT20" s="105">
        <v>3</v>
      </c>
      <c r="AU20" s="6">
        <f t="shared" si="23"/>
        <v>14</v>
      </c>
      <c r="AW20" s="3" t="s">
        <v>104</v>
      </c>
      <c r="AX20" s="62">
        <f>(AL26/AL43)*100</f>
        <v>5.5870594747524445</v>
      </c>
      <c r="AY20" s="62">
        <f aca="true" t="shared" si="34" ref="AY20:BG20">(AM26/AM43)*100</f>
        <v>2.8749028749028747</v>
      </c>
      <c r="AZ20" s="62">
        <f t="shared" si="34"/>
        <v>0.046182266009852216</v>
      </c>
      <c r="BA20" s="62">
        <f t="shared" si="34"/>
        <v>1.91713048855906</v>
      </c>
      <c r="BB20" s="62">
        <f t="shared" si="34"/>
        <v>0.7031439424553463</v>
      </c>
      <c r="BC20" s="62">
        <f t="shared" si="34"/>
        <v>0</v>
      </c>
      <c r="BD20" s="62">
        <f t="shared" si="34"/>
        <v>1.71473109898675</v>
      </c>
      <c r="BE20" s="62">
        <f t="shared" si="34"/>
        <v>2.0449601160261057</v>
      </c>
      <c r="BF20" s="62">
        <f t="shared" si="34"/>
        <v>3.0766679106024797</v>
      </c>
      <c r="BG20" s="63">
        <f t="shared" si="34"/>
        <v>3.8508770501148226</v>
      </c>
      <c r="BI20" s="3" t="s">
        <v>236</v>
      </c>
      <c r="BJ20" s="106">
        <v>3995</v>
      </c>
      <c r="BK20" s="106">
        <v>67</v>
      </c>
      <c r="BL20" s="106">
        <v>158</v>
      </c>
      <c r="BM20" s="106">
        <v>36</v>
      </c>
      <c r="BN20" s="106">
        <v>789</v>
      </c>
      <c r="BO20" s="106">
        <v>20</v>
      </c>
      <c r="BP20" s="106">
        <v>71</v>
      </c>
      <c r="BQ20" s="106">
        <v>1564</v>
      </c>
      <c r="BR20" s="106">
        <v>709</v>
      </c>
      <c r="BS20" s="6">
        <f t="shared" si="3"/>
        <v>7409</v>
      </c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8" t="s">
        <v>31</v>
      </c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8" t="s">
        <v>31</v>
      </c>
    </row>
    <row r="21" spans="1:108" ht="15">
      <c r="A21" s="3" t="s">
        <v>84</v>
      </c>
      <c r="B21" s="11">
        <f aca="true" t="shared" si="35" ref="B21:K21">(B6/B13)*100</f>
        <v>1.6637236508111688</v>
      </c>
      <c r="C21" s="11">
        <f t="shared" si="35"/>
        <v>2.2219211488958135</v>
      </c>
      <c r="D21" s="11">
        <f t="shared" si="35"/>
        <v>2.519189135996851</v>
      </c>
      <c r="E21" s="11">
        <f t="shared" si="35"/>
        <v>1.9219922161430425</v>
      </c>
      <c r="F21" s="11">
        <f t="shared" si="35"/>
        <v>1.9014608271003774</v>
      </c>
      <c r="G21" s="11">
        <f t="shared" si="35"/>
        <v>1.8872102750848874</v>
      </c>
      <c r="H21" s="11">
        <f t="shared" si="35"/>
        <v>2.877471598726365</v>
      </c>
      <c r="I21" s="11">
        <f t="shared" si="35"/>
        <v>2.8745644599303137</v>
      </c>
      <c r="J21" s="11">
        <f t="shared" si="35"/>
        <v>2.937347013176397</v>
      </c>
      <c r="K21" s="12">
        <f t="shared" si="35"/>
        <v>2.1159953745175004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58" t="s">
        <v>31</v>
      </c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58" t="s">
        <v>31</v>
      </c>
      <c r="AK21" s="3" t="s">
        <v>130</v>
      </c>
      <c r="AL21" s="105">
        <v>22</v>
      </c>
      <c r="AM21" s="105">
        <v>0</v>
      </c>
      <c r="AN21" s="105">
        <v>1</v>
      </c>
      <c r="AO21" s="105">
        <v>0</v>
      </c>
      <c r="AP21" s="105">
        <v>21</v>
      </c>
      <c r="AQ21" s="105">
        <v>0</v>
      </c>
      <c r="AR21" s="105">
        <v>0</v>
      </c>
      <c r="AS21" s="105">
        <v>11</v>
      </c>
      <c r="AT21" s="105">
        <v>7</v>
      </c>
      <c r="AU21" s="6">
        <f t="shared" si="23"/>
        <v>62</v>
      </c>
      <c r="AW21" s="73" t="s">
        <v>105</v>
      </c>
      <c r="AX21" s="78">
        <f>(AL27/AL43)*100</f>
        <v>1.1599729380650716</v>
      </c>
      <c r="AY21" s="78">
        <f aca="true" t="shared" si="36" ref="AY21:BG21">(AM27/AM43)*100</f>
        <v>0.4662004662004662</v>
      </c>
      <c r="AZ21" s="78">
        <f t="shared" si="36"/>
        <v>0.13854679802955666</v>
      </c>
      <c r="BA21" s="78">
        <f t="shared" si="36"/>
        <v>1.855287569573284</v>
      </c>
      <c r="BB21" s="78">
        <f t="shared" si="36"/>
        <v>3.2894205124060454</v>
      </c>
      <c r="BC21" s="78">
        <f t="shared" si="36"/>
        <v>0.1201923076923077</v>
      </c>
      <c r="BD21" s="78">
        <f t="shared" si="36"/>
        <v>0.7014809041309431</v>
      </c>
      <c r="BE21" s="78">
        <f t="shared" si="36"/>
        <v>1.360889533478366</v>
      </c>
      <c r="BF21" s="78">
        <f t="shared" si="36"/>
        <v>1.7871211178836506</v>
      </c>
      <c r="BG21" s="81">
        <f t="shared" si="36"/>
        <v>1.4065375657583998</v>
      </c>
      <c r="BI21" s="3" t="s">
        <v>237</v>
      </c>
      <c r="BJ21" s="106">
        <v>3300</v>
      </c>
      <c r="BK21" s="106">
        <v>96</v>
      </c>
      <c r="BL21" s="106">
        <v>196</v>
      </c>
      <c r="BM21" s="106">
        <v>56</v>
      </c>
      <c r="BN21" s="106">
        <v>1157</v>
      </c>
      <c r="BO21" s="106">
        <v>28</v>
      </c>
      <c r="BP21" s="106">
        <v>41</v>
      </c>
      <c r="BQ21" s="106">
        <v>1427</v>
      </c>
      <c r="BR21" s="106">
        <v>643</v>
      </c>
      <c r="BS21" s="6">
        <f t="shared" si="3"/>
        <v>6944</v>
      </c>
      <c r="CT21" s="56" t="s">
        <v>252</v>
      </c>
      <c r="CU21" s="59"/>
      <c r="CV21" s="59"/>
      <c r="CW21" s="59"/>
      <c r="CX21" s="59"/>
      <c r="CY21" s="59"/>
      <c r="CZ21" s="59"/>
      <c r="DA21" s="59"/>
      <c r="DB21" s="59"/>
      <c r="DC21" s="59"/>
      <c r="DD21" s="59"/>
    </row>
    <row r="22" spans="1:108" ht="15">
      <c r="A22" s="3" t="s">
        <v>85</v>
      </c>
      <c r="B22" s="11">
        <f aca="true" t="shared" si="37" ref="B22:K22">(B7/B13)*100</f>
        <v>0.32557112901445756</v>
      </c>
      <c r="C22" s="11">
        <f t="shared" si="37"/>
        <v>0.42677144018425683</v>
      </c>
      <c r="D22" s="11">
        <f t="shared" si="37"/>
        <v>0.4723479629994096</v>
      </c>
      <c r="E22" s="11">
        <f t="shared" si="37"/>
        <v>0.3652208246375994</v>
      </c>
      <c r="F22" s="11">
        <f t="shared" si="37"/>
        <v>0.41537446850310833</v>
      </c>
      <c r="G22" s="11">
        <f t="shared" si="37"/>
        <v>0.4453520988140347</v>
      </c>
      <c r="H22" s="11">
        <f t="shared" si="37"/>
        <v>0.6643342898698847</v>
      </c>
      <c r="I22" s="11">
        <f t="shared" si="37"/>
        <v>0.8710801393728222</v>
      </c>
      <c r="J22" s="11">
        <f t="shared" si="37"/>
        <v>1.6822040518722985</v>
      </c>
      <c r="K22" s="12">
        <f t="shared" si="37"/>
        <v>0.5267186761999382</v>
      </c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AK22" s="68" t="s">
        <v>100</v>
      </c>
      <c r="AL22" s="69">
        <v>4566</v>
      </c>
      <c r="AM22" s="69">
        <v>13</v>
      </c>
      <c r="AN22" s="69">
        <v>5</v>
      </c>
      <c r="AO22" s="69">
        <v>5</v>
      </c>
      <c r="AP22" s="69">
        <v>39</v>
      </c>
      <c r="AQ22" s="69">
        <v>0</v>
      </c>
      <c r="AR22" s="69">
        <v>13</v>
      </c>
      <c r="AS22" s="69">
        <v>695</v>
      </c>
      <c r="AT22" s="69">
        <v>445</v>
      </c>
      <c r="AU22" s="70">
        <f t="shared" si="23"/>
        <v>5781</v>
      </c>
      <c r="AW22" s="67" t="s">
        <v>106</v>
      </c>
      <c r="AX22" s="76">
        <f>(AL28/AL43)*100</f>
        <v>7.127129589765668</v>
      </c>
      <c r="AY22" s="76">
        <f aca="true" t="shared" si="38" ref="AY22:BG22">(AM28/AM43)*100</f>
        <v>1.6317016317016315</v>
      </c>
      <c r="AZ22" s="76">
        <f t="shared" si="38"/>
        <v>18.011083743842367</v>
      </c>
      <c r="BA22" s="76">
        <f t="shared" si="38"/>
        <v>5.875077303648732</v>
      </c>
      <c r="BB22" s="76">
        <f t="shared" si="38"/>
        <v>19.574880788814355</v>
      </c>
      <c r="BC22" s="76">
        <f t="shared" si="38"/>
        <v>12.740384615384615</v>
      </c>
      <c r="BD22" s="76">
        <f t="shared" si="38"/>
        <v>7.1706936866718625</v>
      </c>
      <c r="BE22" s="76">
        <f t="shared" si="38"/>
        <v>2.8982354363065026</v>
      </c>
      <c r="BF22" s="76">
        <f t="shared" si="38"/>
        <v>5.510635651200398</v>
      </c>
      <c r="BG22" s="79">
        <f t="shared" si="38"/>
        <v>7.0567924559031905</v>
      </c>
      <c r="BI22" s="127" t="s">
        <v>48</v>
      </c>
      <c r="BJ22" s="61">
        <f>BJ7+BJ8+BJ10+BJ11+BJ12+BJ14+BJ15+BJ17+BJ18+BJ19+BJ20+BJ21</f>
        <v>136430</v>
      </c>
      <c r="BK22" s="61">
        <f aca="true" t="shared" si="39" ref="BK22:BS22">BK7+BK8+BK10+BK11+BK12+BK14+BK15+BK17+BK18+BK19+BK20+BK21</f>
        <v>2378</v>
      </c>
      <c r="BL22" s="61">
        <f t="shared" si="39"/>
        <v>5565</v>
      </c>
      <c r="BM22" s="61">
        <f t="shared" si="39"/>
        <v>1436</v>
      </c>
      <c r="BN22" s="61">
        <f t="shared" si="39"/>
        <v>16778</v>
      </c>
      <c r="BO22" s="61">
        <f t="shared" si="39"/>
        <v>721</v>
      </c>
      <c r="BP22" s="61">
        <f t="shared" si="39"/>
        <v>1209</v>
      </c>
      <c r="BQ22" s="61">
        <f t="shared" si="39"/>
        <v>72142</v>
      </c>
      <c r="BR22" s="61">
        <f t="shared" si="39"/>
        <v>19330</v>
      </c>
      <c r="BS22" s="61">
        <f t="shared" si="39"/>
        <v>255989</v>
      </c>
      <c r="CT22" s="17" t="s">
        <v>80</v>
      </c>
      <c r="CU22" s="266" t="s">
        <v>81</v>
      </c>
      <c r="CV22" s="264"/>
      <c r="CW22" s="264"/>
      <c r="CX22" s="264"/>
      <c r="CY22" s="264"/>
      <c r="CZ22" s="264"/>
      <c r="DA22" s="264"/>
      <c r="DB22" s="264"/>
      <c r="DC22" s="265"/>
      <c r="DD22" s="60"/>
    </row>
    <row r="23" spans="1:108" ht="15">
      <c r="A23" s="99" t="s">
        <v>86</v>
      </c>
      <c r="B23" s="43">
        <f aca="true" t="shared" si="40" ref="B23:K23">(B8/B13)*100</f>
        <v>14.636905418827945</v>
      </c>
      <c r="C23" s="43">
        <f t="shared" si="40"/>
        <v>18.039561035090095</v>
      </c>
      <c r="D23" s="43">
        <f t="shared" si="40"/>
        <v>16.020468411729976</v>
      </c>
      <c r="E23" s="43">
        <f t="shared" si="40"/>
        <v>6.200293304754921</v>
      </c>
      <c r="F23" s="43">
        <f t="shared" si="40"/>
        <v>5.788580008700412</v>
      </c>
      <c r="G23" s="43">
        <f t="shared" si="40"/>
        <v>7.666945524334433</v>
      </c>
      <c r="H23" s="43">
        <f t="shared" si="40"/>
        <v>6.2148669365934195</v>
      </c>
      <c r="I23" s="43">
        <f t="shared" si="40"/>
        <v>5.536803135888501</v>
      </c>
      <c r="J23" s="43">
        <f t="shared" si="40"/>
        <v>4.760168741211395</v>
      </c>
      <c r="K23" s="44">
        <f t="shared" si="40"/>
        <v>8.060717601263864</v>
      </c>
      <c r="M23" s="56" t="s">
        <v>214</v>
      </c>
      <c r="N23" s="97"/>
      <c r="O23" s="97"/>
      <c r="P23" s="97"/>
      <c r="Q23" s="97"/>
      <c r="R23" s="97"/>
      <c r="S23" s="97"/>
      <c r="T23" s="97"/>
      <c r="U23" s="97"/>
      <c r="V23" s="97"/>
      <c r="W23" s="111"/>
      <c r="AK23" s="68" t="s">
        <v>101</v>
      </c>
      <c r="AL23" s="69">
        <v>20626</v>
      </c>
      <c r="AM23" s="69">
        <v>156</v>
      </c>
      <c r="AN23" s="69">
        <v>84</v>
      </c>
      <c r="AO23" s="69">
        <v>140</v>
      </c>
      <c r="AP23" s="69">
        <v>2424</v>
      </c>
      <c r="AQ23" s="69">
        <v>19</v>
      </c>
      <c r="AR23" s="69">
        <v>97</v>
      </c>
      <c r="AS23" s="69">
        <v>7537</v>
      </c>
      <c r="AT23" s="69">
        <v>2680</v>
      </c>
      <c r="AU23" s="70">
        <f t="shared" si="23"/>
        <v>33763</v>
      </c>
      <c r="AW23" s="3" t="s">
        <v>107</v>
      </c>
      <c r="AX23" s="129">
        <f>(AL29/AL43)*100</f>
        <v>0.15068577403284333</v>
      </c>
      <c r="AY23" s="129">
        <f aca="true" t="shared" si="41" ref="AY23:BG23">(AM29/AM43)*100</f>
        <v>0.0777000777000777</v>
      </c>
      <c r="AZ23" s="129">
        <f t="shared" si="41"/>
        <v>0.03078817733990148</v>
      </c>
      <c r="BA23" s="129">
        <f t="shared" si="41"/>
        <v>0.9894867037724181</v>
      </c>
      <c r="BB23" s="129">
        <f t="shared" si="41"/>
        <v>4.517901883132628</v>
      </c>
      <c r="BC23" s="129">
        <f t="shared" si="41"/>
        <v>0</v>
      </c>
      <c r="BD23" s="129">
        <f t="shared" si="41"/>
        <v>0.1558846453624318</v>
      </c>
      <c r="BE23" s="129">
        <f t="shared" si="41"/>
        <v>0.13898960599468213</v>
      </c>
      <c r="BF23" s="129">
        <f t="shared" si="41"/>
        <v>0.5556246631007173</v>
      </c>
      <c r="BG23" s="131">
        <f t="shared" si="41"/>
        <v>0.5322562256714278</v>
      </c>
      <c r="BI23" s="117" t="s">
        <v>240</v>
      </c>
      <c r="BJ23" s="97"/>
      <c r="BK23" s="97"/>
      <c r="BL23" s="97"/>
      <c r="BM23" s="97"/>
      <c r="BN23" s="97"/>
      <c r="BO23" s="97"/>
      <c r="BP23" s="97"/>
      <c r="BQ23" s="97"/>
      <c r="BR23" s="97"/>
      <c r="BS23" s="58" t="s">
        <v>18</v>
      </c>
      <c r="CT23" s="18"/>
      <c r="CU23" s="140" t="s">
        <v>82</v>
      </c>
      <c r="CV23" s="136" t="s">
        <v>83</v>
      </c>
      <c r="CW23" s="136" t="s">
        <v>84</v>
      </c>
      <c r="CX23" s="136" t="s">
        <v>85</v>
      </c>
      <c r="CY23" s="136" t="s">
        <v>86</v>
      </c>
      <c r="CZ23" s="136" t="s">
        <v>87</v>
      </c>
      <c r="DA23" s="136" t="s">
        <v>88</v>
      </c>
      <c r="DB23" s="136" t="s">
        <v>89</v>
      </c>
      <c r="DC23" s="137" t="s">
        <v>90</v>
      </c>
      <c r="DD23" s="138" t="s">
        <v>20</v>
      </c>
    </row>
    <row r="24" spans="1:108" ht="15">
      <c r="A24" s="3" t="s">
        <v>87</v>
      </c>
      <c r="B24" s="11">
        <f aca="true" t="shared" si="42" ref="B24:K24">(B9/B13)*100</f>
        <v>0.2069308023396976</v>
      </c>
      <c r="C24" s="11">
        <f t="shared" si="42"/>
        <v>0.2438693943910039</v>
      </c>
      <c r="D24" s="11">
        <f t="shared" si="42"/>
        <v>0.39362330249950794</v>
      </c>
      <c r="E24" s="11">
        <f t="shared" si="42"/>
        <v>0.3074059450617632</v>
      </c>
      <c r="F24" s="11">
        <f t="shared" si="42"/>
        <v>0.23996295308794433</v>
      </c>
      <c r="G24" s="11">
        <f t="shared" si="42"/>
        <v>0.27311648048816495</v>
      </c>
      <c r="H24" s="11">
        <f t="shared" si="42"/>
        <v>0.3302016588702386</v>
      </c>
      <c r="I24" s="11">
        <f t="shared" si="42"/>
        <v>0.272212543554007</v>
      </c>
      <c r="J24" s="11">
        <f t="shared" si="42"/>
        <v>0.24477891776469976</v>
      </c>
      <c r="K24" s="12">
        <f t="shared" si="42"/>
        <v>0.2710141858987931</v>
      </c>
      <c r="M24" s="17" t="s">
        <v>196</v>
      </c>
      <c r="N24" s="257" t="s">
        <v>81</v>
      </c>
      <c r="O24" s="256"/>
      <c r="P24" s="256"/>
      <c r="Q24" s="256"/>
      <c r="R24" s="256"/>
      <c r="S24" s="256"/>
      <c r="T24" s="256"/>
      <c r="U24" s="256"/>
      <c r="V24" s="259"/>
      <c r="W24" s="112"/>
      <c r="AK24" s="73" t="s">
        <v>102</v>
      </c>
      <c r="AL24" s="74">
        <v>18740</v>
      </c>
      <c r="AM24" s="74">
        <v>144</v>
      </c>
      <c r="AN24" s="74">
        <v>75</v>
      </c>
      <c r="AO24" s="74">
        <v>110</v>
      </c>
      <c r="AP24" s="74">
        <v>1610</v>
      </c>
      <c r="AQ24" s="74">
        <v>18</v>
      </c>
      <c r="AR24" s="74">
        <v>88</v>
      </c>
      <c r="AS24" s="74">
        <v>6411</v>
      </c>
      <c r="AT24" s="74">
        <v>2249</v>
      </c>
      <c r="AU24" s="75">
        <f t="shared" si="23"/>
        <v>29445</v>
      </c>
      <c r="AW24" s="3" t="s">
        <v>108</v>
      </c>
      <c r="AX24" s="129">
        <f>(AL30/AL43)*100</f>
        <v>2.4915431453348917</v>
      </c>
      <c r="AY24" s="129">
        <f aca="true" t="shared" si="43" ref="AY24:BG24">(AM30/AM43)*100</f>
        <v>0.19425019425019424</v>
      </c>
      <c r="AZ24" s="129">
        <f t="shared" si="43"/>
        <v>0.13854679802955666</v>
      </c>
      <c r="BA24" s="129">
        <f t="shared" si="43"/>
        <v>0</v>
      </c>
      <c r="BB24" s="129">
        <f t="shared" si="43"/>
        <v>1.4628626848783641</v>
      </c>
      <c r="BC24" s="129">
        <f t="shared" si="43"/>
        <v>0</v>
      </c>
      <c r="BD24" s="129">
        <f t="shared" si="43"/>
        <v>0.779423226812159</v>
      </c>
      <c r="BE24" s="129">
        <f t="shared" si="43"/>
        <v>0.24051244863427607</v>
      </c>
      <c r="BF24" s="129">
        <f t="shared" si="43"/>
        <v>1.049052535555832</v>
      </c>
      <c r="BG24" s="131">
        <f t="shared" si="43"/>
        <v>1.592534080359615</v>
      </c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58" t="s">
        <v>31</v>
      </c>
      <c r="CT24" s="141" t="s">
        <v>91</v>
      </c>
      <c r="CU24" s="11">
        <f aca="true" t="shared" si="44" ref="CU24:DD24">(CU4/CU18)*100</f>
        <v>24.109723845254933</v>
      </c>
      <c r="CV24" s="11">
        <f t="shared" si="44"/>
        <v>29.681429681429684</v>
      </c>
      <c r="CW24" s="11">
        <f t="shared" si="44"/>
        <v>57.312192118226605</v>
      </c>
      <c r="CX24" s="11">
        <f t="shared" si="44"/>
        <v>25.108225108225106</v>
      </c>
      <c r="CY24" s="11">
        <f t="shared" si="44"/>
        <v>50.359654085508765</v>
      </c>
      <c r="CZ24" s="11">
        <f t="shared" si="44"/>
        <v>65.26442307692307</v>
      </c>
      <c r="DA24" s="11">
        <f t="shared" si="44"/>
        <v>32.579890880748245</v>
      </c>
      <c r="DB24" s="11">
        <f t="shared" si="44"/>
        <v>23.833695914914188</v>
      </c>
      <c r="DC24" s="11">
        <f t="shared" si="44"/>
        <v>29.074926400464403</v>
      </c>
      <c r="DD24" s="139">
        <f t="shared" si="44"/>
        <v>27.442792227886446</v>
      </c>
    </row>
    <row r="25" spans="1:108" ht="15" customHeight="1">
      <c r="A25" s="3" t="s">
        <v>88</v>
      </c>
      <c r="B25" s="11">
        <f aca="true" t="shared" si="45" ref="B25:K25">(B10/B13)*100</f>
        <v>0.13795386822646505</v>
      </c>
      <c r="C25" s="11">
        <f t="shared" si="45"/>
        <v>0.16257959626066928</v>
      </c>
      <c r="D25" s="11">
        <f t="shared" si="45"/>
        <v>0.19681165124975397</v>
      </c>
      <c r="E25" s="11">
        <f t="shared" si="45"/>
        <v>0.4385470133679283</v>
      </c>
      <c r="F25" s="11">
        <f t="shared" si="45"/>
        <v>0.44484360309285587</v>
      </c>
      <c r="G25" s="11">
        <f t="shared" si="45"/>
        <v>0.5437724521431032</v>
      </c>
      <c r="H25" s="11">
        <f t="shared" si="45"/>
        <v>0.6682652619992924</v>
      </c>
      <c r="I25" s="11">
        <f t="shared" si="45"/>
        <v>0.5389808362369338</v>
      </c>
      <c r="J25" s="11">
        <f t="shared" si="45"/>
        <v>0.3697724076870996</v>
      </c>
      <c r="K25" s="12">
        <f t="shared" si="45"/>
        <v>0.4179221159953745</v>
      </c>
      <c r="M25" s="126"/>
      <c r="N25" s="124" t="s">
        <v>82</v>
      </c>
      <c r="O25" s="113" t="s">
        <v>83</v>
      </c>
      <c r="P25" s="113" t="s">
        <v>84</v>
      </c>
      <c r="Q25" s="113" t="s">
        <v>85</v>
      </c>
      <c r="R25" s="113" t="s">
        <v>86</v>
      </c>
      <c r="S25" s="113" t="s">
        <v>87</v>
      </c>
      <c r="T25" s="113" t="s">
        <v>197</v>
      </c>
      <c r="U25" s="113" t="s">
        <v>89</v>
      </c>
      <c r="V25" s="118" t="s">
        <v>198</v>
      </c>
      <c r="W25" s="91" t="s">
        <v>20</v>
      </c>
      <c r="AK25" s="3" t="s">
        <v>103</v>
      </c>
      <c r="AL25" s="105">
        <v>9656</v>
      </c>
      <c r="AM25" s="105">
        <v>70</v>
      </c>
      <c r="AN25" s="105">
        <v>72</v>
      </c>
      <c r="AO25" s="105">
        <v>79</v>
      </c>
      <c r="AP25" s="105">
        <v>1436</v>
      </c>
      <c r="AQ25" s="105">
        <v>18</v>
      </c>
      <c r="AR25" s="105">
        <v>66</v>
      </c>
      <c r="AS25" s="105">
        <v>4719</v>
      </c>
      <c r="AT25" s="105">
        <v>1507</v>
      </c>
      <c r="AU25" s="6">
        <f t="shared" si="23"/>
        <v>17623</v>
      </c>
      <c r="AW25" s="3" t="s">
        <v>109</v>
      </c>
      <c r="AX25" s="129">
        <f>(AL31/AL43)*100</f>
        <v>4.452918383664432</v>
      </c>
      <c r="AY25" s="129">
        <f aca="true" t="shared" si="46" ref="AY25:BG25">(AM31/AM43)*100</f>
        <v>1.3597513597513597</v>
      </c>
      <c r="AZ25" s="129">
        <f t="shared" si="46"/>
        <v>16.810344827586206</v>
      </c>
      <c r="BA25" s="129">
        <f t="shared" si="46"/>
        <v>4.885590599876314</v>
      </c>
      <c r="BB25" s="129">
        <f t="shared" si="46"/>
        <v>13.493089792289664</v>
      </c>
      <c r="BC25" s="129">
        <f t="shared" si="46"/>
        <v>12.139423076923077</v>
      </c>
      <c r="BD25" s="129">
        <f t="shared" si="46"/>
        <v>6.157443491816056</v>
      </c>
      <c r="BE25" s="129">
        <f t="shared" si="46"/>
        <v>2.5090645395213924</v>
      </c>
      <c r="BF25" s="129">
        <f t="shared" si="46"/>
        <v>3.856201020027367</v>
      </c>
      <c r="BG25" s="131">
        <f t="shared" si="46"/>
        <v>4.87662665515725</v>
      </c>
      <c r="BI25" s="56" t="s">
        <v>239</v>
      </c>
      <c r="BJ25" s="97"/>
      <c r="BK25" s="97"/>
      <c r="BL25" s="97"/>
      <c r="BM25" s="97"/>
      <c r="BN25" s="97"/>
      <c r="BO25" s="97"/>
      <c r="BP25" s="97"/>
      <c r="BQ25" s="97"/>
      <c r="BR25" s="97"/>
      <c r="BS25" s="111"/>
      <c r="CT25" s="134" t="s">
        <v>242</v>
      </c>
      <c r="CU25" s="11">
        <f aca="true" t="shared" si="47" ref="CU25:DD25">(CU5/CU18)*100</f>
        <v>39.24349590995756</v>
      </c>
      <c r="CV25" s="11">
        <f t="shared" si="47"/>
        <v>16.278166278166278</v>
      </c>
      <c r="CW25" s="11">
        <f t="shared" si="47"/>
        <v>9.35960591133005</v>
      </c>
      <c r="CX25" s="11">
        <f t="shared" si="47"/>
        <v>45.39270253555968</v>
      </c>
      <c r="CY25" s="11">
        <f t="shared" si="47"/>
        <v>10.79770467954417</v>
      </c>
      <c r="CZ25" s="11">
        <f t="shared" si="47"/>
        <v>12.740384615384615</v>
      </c>
      <c r="DA25" s="11">
        <f t="shared" si="47"/>
        <v>33.28137178487919</v>
      </c>
      <c r="DB25" s="11">
        <f t="shared" si="47"/>
        <v>43.54363065022964</v>
      </c>
      <c r="DC25" s="11">
        <f t="shared" si="47"/>
        <v>37.454907326781935</v>
      </c>
      <c r="DD25" s="62">
        <f t="shared" si="47"/>
        <v>37.07975699929966</v>
      </c>
    </row>
    <row r="26" spans="1:108" ht="15">
      <c r="A26" s="3" t="s">
        <v>192</v>
      </c>
      <c r="B26" s="11">
        <f aca="true" t="shared" si="48" ref="B26:K26">(B11/B13)*100</f>
        <v>21.186955082220503</v>
      </c>
      <c r="C26" s="11">
        <f t="shared" si="48"/>
        <v>19.7737433952039</v>
      </c>
      <c r="D26" s="11">
        <f t="shared" si="48"/>
        <v>27.740602243652823</v>
      </c>
      <c r="E26" s="11">
        <f t="shared" si="48"/>
        <v>37.07766935529359</v>
      </c>
      <c r="F26" s="11">
        <f t="shared" si="48"/>
        <v>31.512327921303378</v>
      </c>
      <c r="G26" s="11">
        <f t="shared" si="48"/>
        <v>25.264504699571873</v>
      </c>
      <c r="H26" s="11">
        <f t="shared" si="48"/>
        <v>21.03070089233067</v>
      </c>
      <c r="I26" s="11">
        <f t="shared" si="48"/>
        <v>16.70296167247387</v>
      </c>
      <c r="J26" s="11">
        <f t="shared" si="48"/>
        <v>9.82761314514869</v>
      </c>
      <c r="K26" s="12">
        <f t="shared" si="48"/>
        <v>26.951579015944887</v>
      </c>
      <c r="M26" s="125" t="s">
        <v>199</v>
      </c>
      <c r="N26" s="116">
        <f>(N4/N19)*100</f>
        <v>20.049109433409072</v>
      </c>
      <c r="O26" s="116">
        <f aca="true" t="shared" si="49" ref="O26:W26">(O4/O19)*100</f>
        <v>14.55004205214466</v>
      </c>
      <c r="P26" s="116">
        <f t="shared" si="49"/>
        <v>17.69991015274034</v>
      </c>
      <c r="Q26" s="116">
        <f t="shared" si="49"/>
        <v>24.233983286908078</v>
      </c>
      <c r="R26" s="116">
        <f t="shared" si="49"/>
        <v>7.87936583621409</v>
      </c>
      <c r="S26" s="116">
        <f t="shared" si="49"/>
        <v>21.35922330097087</v>
      </c>
      <c r="T26" s="116">
        <f t="shared" si="49"/>
        <v>14.226633581472292</v>
      </c>
      <c r="U26" s="116">
        <f t="shared" si="49"/>
        <v>23.980482936430928</v>
      </c>
      <c r="V26" s="116">
        <f t="shared" si="49"/>
        <v>18.287635799275737</v>
      </c>
      <c r="W26" s="121">
        <f t="shared" si="49"/>
        <v>20.123911574325458</v>
      </c>
      <c r="AK26" s="3" t="s">
        <v>104</v>
      </c>
      <c r="AL26" s="105">
        <v>9084</v>
      </c>
      <c r="AM26" s="105">
        <v>74</v>
      </c>
      <c r="AN26" s="105">
        <v>3</v>
      </c>
      <c r="AO26" s="105">
        <v>31</v>
      </c>
      <c r="AP26" s="105">
        <v>174</v>
      </c>
      <c r="AQ26" s="105">
        <v>0</v>
      </c>
      <c r="AR26" s="105">
        <v>22</v>
      </c>
      <c r="AS26" s="105">
        <v>1692</v>
      </c>
      <c r="AT26" s="105">
        <v>742</v>
      </c>
      <c r="AU26" s="6">
        <f t="shared" si="23"/>
        <v>11822</v>
      </c>
      <c r="AW26" s="3" t="s">
        <v>131</v>
      </c>
      <c r="AX26" s="129">
        <f>(AL32/AL43)*100</f>
        <v>0.031982286733501446</v>
      </c>
      <c r="AY26" s="129">
        <f aca="true" t="shared" si="50" ref="AY26:BG26">(AM32/AM43)*100</f>
        <v>0</v>
      </c>
      <c r="AZ26" s="129">
        <f t="shared" si="50"/>
        <v>1.0314039408866995</v>
      </c>
      <c r="BA26" s="129">
        <f t="shared" si="50"/>
        <v>0</v>
      </c>
      <c r="BB26" s="129">
        <f t="shared" si="50"/>
        <v>0.10102642851369918</v>
      </c>
      <c r="BC26" s="129">
        <f t="shared" si="50"/>
        <v>0.6009615384615385</v>
      </c>
      <c r="BD26" s="129">
        <f t="shared" si="50"/>
        <v>0.0779423226812159</v>
      </c>
      <c r="BE26" s="129">
        <f t="shared" si="50"/>
        <v>0.009668842156151802</v>
      </c>
      <c r="BF26" s="129">
        <f t="shared" si="50"/>
        <v>0.049757432516482146</v>
      </c>
      <c r="BG26" s="131">
        <f t="shared" si="50"/>
        <v>0.05537549471489764</v>
      </c>
      <c r="BI26" s="17" t="s">
        <v>153</v>
      </c>
      <c r="BJ26" s="263" t="s">
        <v>81</v>
      </c>
      <c r="BK26" s="264"/>
      <c r="BL26" s="264"/>
      <c r="BM26" s="264"/>
      <c r="BN26" s="264"/>
      <c r="BO26" s="264"/>
      <c r="BP26" s="264"/>
      <c r="BQ26" s="264"/>
      <c r="BR26" s="265"/>
      <c r="BS26" s="112"/>
      <c r="CT26" s="134" t="s">
        <v>243</v>
      </c>
      <c r="CU26" s="11">
        <f aca="true" t="shared" si="51" ref="CU26:DD26">(CU6/CU18)*100</f>
        <v>6.793775754966481</v>
      </c>
      <c r="CV26" s="11">
        <f t="shared" si="51"/>
        <v>2.059052059052059</v>
      </c>
      <c r="CW26" s="11">
        <f t="shared" si="51"/>
        <v>2.0166256157635467</v>
      </c>
      <c r="CX26" s="11">
        <f t="shared" si="51"/>
        <v>6.679035250463822</v>
      </c>
      <c r="CY26" s="11">
        <f t="shared" si="51"/>
        <v>2.0205285702739837</v>
      </c>
      <c r="CZ26" s="11">
        <f t="shared" si="51"/>
        <v>3.7259615384615383</v>
      </c>
      <c r="DA26" s="11">
        <f t="shared" si="51"/>
        <v>4.910366328916601</v>
      </c>
      <c r="DB26" s="11">
        <f t="shared" si="51"/>
        <v>8.401015228426397</v>
      </c>
      <c r="DC26" s="11">
        <f t="shared" si="51"/>
        <v>6.870672139984244</v>
      </c>
      <c r="DD26" s="62">
        <f t="shared" si="51"/>
        <v>6.690662714376455</v>
      </c>
    </row>
    <row r="27" spans="1:108" ht="15">
      <c r="A27" s="3" t="s">
        <v>90</v>
      </c>
      <c r="B27" s="11">
        <f aca="true" t="shared" si="52" ref="B27:K27">(B12/B13)*100</f>
        <v>9.99613729168966</v>
      </c>
      <c r="C27" s="11">
        <f t="shared" si="52"/>
        <v>7.88511041864246</v>
      </c>
      <c r="D27" s="11">
        <f t="shared" si="52"/>
        <v>7.380436921865774</v>
      </c>
      <c r="E27" s="11">
        <f t="shared" si="52"/>
        <v>6.789723052625642</v>
      </c>
      <c r="F27" s="11">
        <f t="shared" si="52"/>
        <v>6.741415360435582</v>
      </c>
      <c r="G27" s="11">
        <f t="shared" si="52"/>
        <v>7.696471630333153</v>
      </c>
      <c r="H27" s="11">
        <f t="shared" si="52"/>
        <v>8.990133259955186</v>
      </c>
      <c r="I27" s="11">
        <f t="shared" si="52"/>
        <v>9.189895470383275</v>
      </c>
      <c r="J27" s="11">
        <f t="shared" si="52"/>
        <v>9.676579344825791</v>
      </c>
      <c r="K27" s="12">
        <f t="shared" si="52"/>
        <v>7.855828270818743</v>
      </c>
      <c r="M27" s="115" t="s">
        <v>200</v>
      </c>
      <c r="N27" s="13">
        <f>(N5/N19)*100</f>
        <v>4.280583449387965</v>
      </c>
      <c r="O27" s="13">
        <f aca="true" t="shared" si="53" ref="O27:W27">(O5/O19)*100</f>
        <v>2.5231286795626575</v>
      </c>
      <c r="P27" s="13">
        <f t="shared" si="53"/>
        <v>2.0485175202156336</v>
      </c>
      <c r="Q27" s="13">
        <f t="shared" si="53"/>
        <v>5.083565459610028</v>
      </c>
      <c r="R27" s="13">
        <f t="shared" si="53"/>
        <v>1.0549529145309333</v>
      </c>
      <c r="S27" s="13">
        <f t="shared" si="53"/>
        <v>3.0513176144244105</v>
      </c>
      <c r="T27" s="13">
        <f t="shared" si="53"/>
        <v>1.8196856906534327</v>
      </c>
      <c r="U27" s="13">
        <f t="shared" si="53"/>
        <v>4.06004823819689</v>
      </c>
      <c r="V27" s="13">
        <f t="shared" si="53"/>
        <v>3.3574754267977234</v>
      </c>
      <c r="W27" s="13">
        <f t="shared" si="53"/>
        <v>3.861884690357789</v>
      </c>
      <c r="AK27" s="73" t="s">
        <v>105</v>
      </c>
      <c r="AL27" s="74">
        <v>1886</v>
      </c>
      <c r="AM27" s="74">
        <v>12</v>
      </c>
      <c r="AN27" s="74">
        <v>9</v>
      </c>
      <c r="AO27" s="74">
        <v>30</v>
      </c>
      <c r="AP27" s="74">
        <v>814</v>
      </c>
      <c r="AQ27" s="74">
        <v>1</v>
      </c>
      <c r="AR27" s="74">
        <v>9</v>
      </c>
      <c r="AS27" s="74">
        <v>1126</v>
      </c>
      <c r="AT27" s="74">
        <v>431</v>
      </c>
      <c r="AU27" s="75">
        <f t="shared" si="23"/>
        <v>4318</v>
      </c>
      <c r="AW27" s="67" t="s">
        <v>110</v>
      </c>
      <c r="AX27" s="130">
        <f>(AL33/AL43)*100</f>
        <v>3.388892305799865</v>
      </c>
      <c r="AY27" s="130">
        <f aca="true" t="shared" si="54" ref="AY27:BG27">(AM33/AM43)*100</f>
        <v>56.95415695415696</v>
      </c>
      <c r="AZ27" s="130">
        <f t="shared" si="54"/>
        <v>45.535714285714285</v>
      </c>
      <c r="BA27" s="130">
        <f t="shared" si="54"/>
        <v>4.885590599876314</v>
      </c>
      <c r="BB27" s="130">
        <f t="shared" si="54"/>
        <v>33.82768932352703</v>
      </c>
      <c r="BC27" s="130">
        <f t="shared" si="54"/>
        <v>27.884615384615387</v>
      </c>
      <c r="BD27" s="130">
        <f t="shared" si="54"/>
        <v>9.50896336710834</v>
      </c>
      <c r="BE27" s="130">
        <f t="shared" si="54"/>
        <v>3.6064781242446218</v>
      </c>
      <c r="BF27" s="130">
        <f t="shared" si="54"/>
        <v>5.79674088817017</v>
      </c>
      <c r="BG27" s="132">
        <f t="shared" si="54"/>
        <v>7.531067281226078</v>
      </c>
      <c r="BI27" s="126"/>
      <c r="BJ27" s="124" t="s">
        <v>82</v>
      </c>
      <c r="BK27" s="113" t="s">
        <v>83</v>
      </c>
      <c r="BL27" s="113" t="s">
        <v>84</v>
      </c>
      <c r="BM27" s="113" t="s">
        <v>85</v>
      </c>
      <c r="BN27" s="113" t="s">
        <v>86</v>
      </c>
      <c r="BO27" s="113" t="s">
        <v>87</v>
      </c>
      <c r="BP27" s="113" t="s">
        <v>197</v>
      </c>
      <c r="BQ27" s="113" t="s">
        <v>89</v>
      </c>
      <c r="BR27" s="118" t="s">
        <v>198</v>
      </c>
      <c r="BS27" s="91" t="s">
        <v>20</v>
      </c>
      <c r="CT27" s="134" t="s">
        <v>244</v>
      </c>
      <c r="CU27" s="11">
        <f aca="true" t="shared" si="55" ref="CU27:DD27">(CU7/CU18)*100</f>
        <v>0.6605572298419337</v>
      </c>
      <c r="CV27" s="11">
        <f t="shared" si="55"/>
        <v>0.3108003108003108</v>
      </c>
      <c r="CW27" s="11">
        <f t="shared" si="55"/>
        <v>0.06157635467980296</v>
      </c>
      <c r="CX27" s="11">
        <f t="shared" si="55"/>
        <v>0.24737167594310452</v>
      </c>
      <c r="CY27" s="11">
        <f t="shared" si="55"/>
        <v>0.01616422856219187</v>
      </c>
      <c r="CZ27" s="11">
        <f t="shared" si="55"/>
        <v>0.2403846153846154</v>
      </c>
      <c r="DA27" s="11">
        <f t="shared" si="55"/>
        <v>1.9485580670303975</v>
      </c>
      <c r="DB27" s="11">
        <f t="shared" si="55"/>
        <v>0.9330432680686488</v>
      </c>
      <c r="DC27" s="11">
        <f t="shared" si="55"/>
        <v>0.6095285483269064</v>
      </c>
      <c r="DD27" s="62">
        <f t="shared" si="55"/>
        <v>0.6645059365787717</v>
      </c>
    </row>
    <row r="28" spans="1:108" ht="15">
      <c r="A28" s="7" t="s">
        <v>20</v>
      </c>
      <c r="B28" s="12">
        <f>SUM(B19:B27)</f>
        <v>100.00000000000001</v>
      </c>
      <c r="C28" s="12">
        <f aca="true" t="shared" si="56" ref="C28:K28">SUM(C19:C27)</f>
        <v>100</v>
      </c>
      <c r="D28" s="12">
        <f t="shared" si="56"/>
        <v>100.00000000000001</v>
      </c>
      <c r="E28" s="12">
        <f t="shared" si="56"/>
        <v>100.00000000000001</v>
      </c>
      <c r="F28" s="12">
        <f t="shared" si="56"/>
        <v>100.00000000000001</v>
      </c>
      <c r="G28" s="12">
        <f t="shared" si="56"/>
        <v>100</v>
      </c>
      <c r="H28" s="12">
        <f t="shared" si="56"/>
        <v>100</v>
      </c>
      <c r="I28" s="12">
        <f t="shared" si="56"/>
        <v>100</v>
      </c>
      <c r="J28" s="12">
        <f t="shared" si="56"/>
        <v>100</v>
      </c>
      <c r="K28" s="12">
        <f t="shared" si="56"/>
        <v>100.00000000000001</v>
      </c>
      <c r="M28" s="115" t="s">
        <v>201</v>
      </c>
      <c r="N28" s="13">
        <f>(N6/N19)*100</f>
        <v>15.768525984021108</v>
      </c>
      <c r="O28" s="13">
        <f aca="true" t="shared" si="57" ref="O28:W28">(O6/O19)*100</f>
        <v>12.026913372582001</v>
      </c>
      <c r="P28" s="13">
        <f t="shared" si="57"/>
        <v>15.651392632524708</v>
      </c>
      <c r="Q28" s="13">
        <f t="shared" si="57"/>
        <v>19.15041782729805</v>
      </c>
      <c r="R28" s="13">
        <f t="shared" si="57"/>
        <v>6.824412921683157</v>
      </c>
      <c r="S28" s="13">
        <f t="shared" si="57"/>
        <v>18.307905686546462</v>
      </c>
      <c r="T28" s="13">
        <f t="shared" si="57"/>
        <v>12.40694789081886</v>
      </c>
      <c r="U28" s="13">
        <f t="shared" si="57"/>
        <v>19.92043469823404</v>
      </c>
      <c r="V28" s="13">
        <f t="shared" si="57"/>
        <v>14.930160372478014</v>
      </c>
      <c r="W28" s="13">
        <f t="shared" si="57"/>
        <v>16.26202688396767</v>
      </c>
      <c r="AK28" s="67" t="s">
        <v>106</v>
      </c>
      <c r="AL28" s="71">
        <v>11588</v>
      </c>
      <c r="AM28" s="71">
        <v>42</v>
      </c>
      <c r="AN28" s="71">
        <v>1170</v>
      </c>
      <c r="AO28" s="71">
        <v>95</v>
      </c>
      <c r="AP28" s="71">
        <v>4844</v>
      </c>
      <c r="AQ28" s="71">
        <v>106</v>
      </c>
      <c r="AR28" s="71">
        <v>92</v>
      </c>
      <c r="AS28" s="71">
        <v>2398</v>
      </c>
      <c r="AT28" s="71">
        <v>1329</v>
      </c>
      <c r="AU28" s="72">
        <f t="shared" si="23"/>
        <v>21664</v>
      </c>
      <c r="AW28" s="3" t="s">
        <v>111</v>
      </c>
      <c r="AX28" s="43">
        <f>(AL34/AL43)*100</f>
        <v>0.35242019804416014</v>
      </c>
      <c r="AY28" s="43">
        <f aca="true" t="shared" si="58" ref="AY28:BG28">(AM34/AM43)*100</f>
        <v>0.03885003885003885</v>
      </c>
      <c r="AZ28" s="43">
        <f t="shared" si="58"/>
        <v>0.3078817733990148</v>
      </c>
      <c r="BA28" s="43">
        <f t="shared" si="58"/>
        <v>3.6487322201607912</v>
      </c>
      <c r="BB28" s="43">
        <f t="shared" si="58"/>
        <v>5.103855168512083</v>
      </c>
      <c r="BC28" s="43">
        <f t="shared" si="58"/>
        <v>0</v>
      </c>
      <c r="BD28" s="43">
        <f t="shared" si="58"/>
        <v>2.4941543257989087</v>
      </c>
      <c r="BE28" s="43">
        <f t="shared" si="58"/>
        <v>0.6598984771573604</v>
      </c>
      <c r="BF28" s="43">
        <f t="shared" si="58"/>
        <v>0.9453912178131608</v>
      </c>
      <c r="BG28" s="44">
        <f t="shared" si="58"/>
        <v>0.8866593918467728</v>
      </c>
      <c r="BI28" s="67" t="s">
        <v>220</v>
      </c>
      <c r="BJ28" s="76">
        <f>(BJ4/BJ22)*100</f>
        <v>73.24268855823499</v>
      </c>
      <c r="BK28" s="76">
        <f aca="true" t="shared" si="59" ref="BK28:BS28">(BK4/BK22)*100</f>
        <v>70.31118587047939</v>
      </c>
      <c r="BL28" s="76">
        <f t="shared" si="59"/>
        <v>67.29559748427673</v>
      </c>
      <c r="BM28" s="76">
        <f t="shared" si="59"/>
        <v>65.041782729805</v>
      </c>
      <c r="BN28" s="76">
        <f t="shared" si="59"/>
        <v>54.68470616283228</v>
      </c>
      <c r="BO28" s="76">
        <f t="shared" si="59"/>
        <v>70.31900138696255</v>
      </c>
      <c r="BP28" s="76">
        <f t="shared" si="59"/>
        <v>72.29114971050456</v>
      </c>
      <c r="BQ28" s="76">
        <f t="shared" si="59"/>
        <v>82.92950015247705</v>
      </c>
      <c r="BR28" s="76">
        <f t="shared" si="59"/>
        <v>72.534919813761</v>
      </c>
      <c r="BS28" s="76">
        <f t="shared" si="59"/>
        <v>74.48757563801568</v>
      </c>
      <c r="CT28" s="134" t="s">
        <v>245</v>
      </c>
      <c r="CU28" s="11">
        <f aca="true" t="shared" si="60" ref="CU28:DD28">(CU8/CU18)*100</f>
        <v>0.16667691739959406</v>
      </c>
      <c r="CV28" s="11">
        <f t="shared" si="60"/>
        <v>0.2331002331002331</v>
      </c>
      <c r="CW28" s="11">
        <f t="shared" si="60"/>
        <v>0.01539408866995074</v>
      </c>
      <c r="CX28" s="11">
        <f t="shared" si="60"/>
        <v>0.12368583797155226</v>
      </c>
      <c r="CY28" s="11">
        <f t="shared" si="60"/>
        <v>0.01616422856219187</v>
      </c>
      <c r="CZ28" s="11">
        <f t="shared" si="60"/>
        <v>0</v>
      </c>
      <c r="DA28" s="11">
        <f t="shared" si="60"/>
        <v>0.0779423226812159</v>
      </c>
      <c r="DB28" s="11">
        <f t="shared" si="60"/>
        <v>0.25622431713802274</v>
      </c>
      <c r="DC28" s="11">
        <f t="shared" si="60"/>
        <v>0.14097939213003277</v>
      </c>
      <c r="DD28" s="62">
        <f t="shared" si="60"/>
        <v>0.1729669864330038</v>
      </c>
    </row>
    <row r="29" spans="1:108" ht="15">
      <c r="A29" s="57" t="s">
        <v>193</v>
      </c>
      <c r="B29" s="98"/>
      <c r="C29" s="98"/>
      <c r="D29" s="98"/>
      <c r="E29" s="98"/>
      <c r="F29" s="97"/>
      <c r="G29" s="97"/>
      <c r="H29" s="97"/>
      <c r="I29" s="97"/>
      <c r="J29" s="97"/>
      <c r="K29" s="58" t="s">
        <v>18</v>
      </c>
      <c r="M29" s="114" t="s">
        <v>202</v>
      </c>
      <c r="N29" s="116">
        <f>(N7/N19)*100</f>
        <v>29.82335263505094</v>
      </c>
      <c r="O29" s="116">
        <f aca="true" t="shared" si="61" ref="O29:W29">(O7/O19)*100</f>
        <v>25.063078216989066</v>
      </c>
      <c r="P29" s="116">
        <f t="shared" si="61"/>
        <v>18.84995507637017</v>
      </c>
      <c r="Q29" s="116">
        <f t="shared" si="61"/>
        <v>34.33147632311977</v>
      </c>
      <c r="R29" s="116">
        <f t="shared" si="61"/>
        <v>12.730957205864824</v>
      </c>
      <c r="S29" s="116">
        <f t="shared" si="61"/>
        <v>23.855755894590846</v>
      </c>
      <c r="T29" s="116">
        <f t="shared" si="61"/>
        <v>28.53598014888337</v>
      </c>
      <c r="U29" s="116">
        <f t="shared" si="61"/>
        <v>34.5845693216157</v>
      </c>
      <c r="V29" s="116">
        <f t="shared" si="61"/>
        <v>29.079151577858255</v>
      </c>
      <c r="W29" s="116">
        <f t="shared" si="61"/>
        <v>29.708307778849875</v>
      </c>
      <c r="AK29" s="3" t="s">
        <v>107</v>
      </c>
      <c r="AL29" s="106">
        <v>245</v>
      </c>
      <c r="AM29" s="106">
        <v>2</v>
      </c>
      <c r="AN29" s="106">
        <v>2</v>
      </c>
      <c r="AO29" s="106">
        <v>16</v>
      </c>
      <c r="AP29" s="106">
        <v>1118</v>
      </c>
      <c r="AQ29" s="106">
        <v>0</v>
      </c>
      <c r="AR29" s="106">
        <v>2</v>
      </c>
      <c r="AS29" s="106">
        <v>115</v>
      </c>
      <c r="AT29" s="106">
        <v>134</v>
      </c>
      <c r="AU29" s="6">
        <f t="shared" si="23"/>
        <v>1634</v>
      </c>
      <c r="AW29" s="3" t="s">
        <v>112</v>
      </c>
      <c r="AX29" s="43">
        <f>(AL35/AL43)*100</f>
        <v>0.49695553232056094</v>
      </c>
      <c r="AY29" s="43">
        <f aca="true" t="shared" si="62" ref="AY29:BG29">(AM35/AM43)*100</f>
        <v>16.006216006216007</v>
      </c>
      <c r="AZ29" s="43">
        <f t="shared" si="62"/>
        <v>0.12315270935960591</v>
      </c>
      <c r="BA29" s="43">
        <f t="shared" si="62"/>
        <v>0.30921459492888065</v>
      </c>
      <c r="BB29" s="43">
        <f t="shared" si="62"/>
        <v>0.08082114281095934</v>
      </c>
      <c r="BC29" s="43">
        <f t="shared" si="62"/>
        <v>0</v>
      </c>
      <c r="BD29" s="43">
        <f t="shared" si="62"/>
        <v>1.71473109898675</v>
      </c>
      <c r="BE29" s="43">
        <f t="shared" si="62"/>
        <v>1.8636693255982595</v>
      </c>
      <c r="BF29" s="43">
        <f t="shared" si="62"/>
        <v>1.1568603060082099</v>
      </c>
      <c r="BG29" s="44">
        <f t="shared" si="62"/>
        <v>1.0084854802195475</v>
      </c>
      <c r="BI29" s="68" t="s">
        <v>221</v>
      </c>
      <c r="BJ29" s="77">
        <f>(BJ5/BJ22)*100</f>
        <v>69.35498057611962</v>
      </c>
      <c r="BK29" s="77">
        <f aca="true" t="shared" si="63" ref="BK29:BS29">(BK5/BK22)*100</f>
        <v>65.72750210260723</v>
      </c>
      <c r="BL29" s="77">
        <f t="shared" si="63"/>
        <v>62.318059299191376</v>
      </c>
      <c r="BM29" s="77">
        <f t="shared" si="63"/>
        <v>61.97771587743732</v>
      </c>
      <c r="BN29" s="77">
        <f t="shared" si="63"/>
        <v>45.42853737036596</v>
      </c>
      <c r="BO29" s="77">
        <f t="shared" si="63"/>
        <v>63.384188626907076</v>
      </c>
      <c r="BP29" s="77">
        <f t="shared" si="63"/>
        <v>66.00496277915633</v>
      </c>
      <c r="BQ29" s="77">
        <f t="shared" si="63"/>
        <v>78.87361037952925</v>
      </c>
      <c r="BR29" s="77">
        <f t="shared" si="63"/>
        <v>67.86859803414383</v>
      </c>
      <c r="BS29" s="77">
        <f t="shared" si="63"/>
        <v>70.09637132845552</v>
      </c>
      <c r="CT29" s="134" t="s">
        <v>246</v>
      </c>
      <c r="CU29" s="11">
        <f aca="true" t="shared" si="64" ref="CU29:DD29">(CU9/CU18)*100</f>
        <v>1.0763269573774525</v>
      </c>
      <c r="CV29" s="11">
        <f t="shared" si="64"/>
        <v>1.048951048951049</v>
      </c>
      <c r="CW29" s="11">
        <f t="shared" si="64"/>
        <v>0.046182266009852216</v>
      </c>
      <c r="CX29" s="11">
        <f t="shared" si="64"/>
        <v>0.3710575139146568</v>
      </c>
      <c r="CY29" s="11">
        <f t="shared" si="64"/>
        <v>0.05253374282712357</v>
      </c>
      <c r="CZ29" s="11">
        <f t="shared" si="64"/>
        <v>0.3605769230769231</v>
      </c>
      <c r="DA29" s="11">
        <f t="shared" si="64"/>
        <v>0.3117692907248636</v>
      </c>
      <c r="DB29" s="11">
        <f t="shared" si="64"/>
        <v>1.453952139231327</v>
      </c>
      <c r="DC29" s="11">
        <f t="shared" si="64"/>
        <v>0.991002197619936</v>
      </c>
      <c r="DD29" s="62">
        <f t="shared" si="64"/>
        <v>1.0579976872587502</v>
      </c>
    </row>
    <row r="30" spans="1:108" ht="1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58" t="s">
        <v>31</v>
      </c>
      <c r="M30" s="114" t="s">
        <v>203</v>
      </c>
      <c r="N30" s="116">
        <f>(N8/N19)*100</f>
        <v>11.20941141977571</v>
      </c>
      <c r="O30" s="116">
        <f aca="true" t="shared" si="65" ref="O30:W30">(O8/O19)*100</f>
        <v>8.620689655172415</v>
      </c>
      <c r="P30" s="116">
        <f t="shared" si="65"/>
        <v>10.889487870619947</v>
      </c>
      <c r="Q30" s="116">
        <f t="shared" si="65"/>
        <v>9.052924791086351</v>
      </c>
      <c r="R30" s="116">
        <f t="shared" si="65"/>
        <v>7.402550959589939</v>
      </c>
      <c r="S30" s="116">
        <f t="shared" si="65"/>
        <v>9.43134535367545</v>
      </c>
      <c r="T30" s="116">
        <f t="shared" si="65"/>
        <v>13.399503722084367</v>
      </c>
      <c r="U30" s="116">
        <f t="shared" si="65"/>
        <v>9.496548473843253</v>
      </c>
      <c r="V30" s="116">
        <f t="shared" si="65"/>
        <v>11.179513709260219</v>
      </c>
      <c r="W30" s="116">
        <f t="shared" si="65"/>
        <v>10.437167222029071</v>
      </c>
      <c r="AK30" s="3" t="s">
        <v>108</v>
      </c>
      <c r="AL30" s="106">
        <v>4051</v>
      </c>
      <c r="AM30" s="106">
        <v>5</v>
      </c>
      <c r="AN30" s="106">
        <v>9</v>
      </c>
      <c r="AO30" s="106">
        <v>0</v>
      </c>
      <c r="AP30" s="106">
        <v>362</v>
      </c>
      <c r="AQ30" s="106">
        <v>0</v>
      </c>
      <c r="AR30" s="106">
        <v>10</v>
      </c>
      <c r="AS30" s="106">
        <v>199</v>
      </c>
      <c r="AT30" s="106">
        <v>253</v>
      </c>
      <c r="AU30" s="6">
        <f t="shared" si="23"/>
        <v>4889</v>
      </c>
      <c r="AW30" s="3" t="s">
        <v>113</v>
      </c>
      <c r="AX30" s="43">
        <f>(AL36/AL43)*100</f>
        <v>0.7872562888246509</v>
      </c>
      <c r="AY30" s="43">
        <f aca="true" t="shared" si="66" ref="AY30:BG30">(AM36/AM43)*100</f>
        <v>8.43045843045843</v>
      </c>
      <c r="AZ30" s="43">
        <f t="shared" si="66"/>
        <v>44.10406403940887</v>
      </c>
      <c r="BA30" s="43">
        <f t="shared" si="66"/>
        <v>0.6184291898577613</v>
      </c>
      <c r="BB30" s="43">
        <f t="shared" si="66"/>
        <v>27.859047926937684</v>
      </c>
      <c r="BC30" s="43">
        <f t="shared" si="66"/>
        <v>25.600961538461537</v>
      </c>
      <c r="BD30" s="43">
        <f t="shared" si="66"/>
        <v>4.75448168355417</v>
      </c>
      <c r="BE30" s="43">
        <f t="shared" si="66"/>
        <v>0.42905487067923614</v>
      </c>
      <c r="BF30" s="43">
        <f t="shared" si="66"/>
        <v>2.446407098727039</v>
      </c>
      <c r="BG30" s="44">
        <f t="shared" si="66"/>
        <v>4.066841479502924</v>
      </c>
      <c r="BI30" s="73" t="s">
        <v>222</v>
      </c>
      <c r="BJ30" s="78">
        <f>(BJ6/BJ22)*100</f>
        <v>55.96716264751155</v>
      </c>
      <c r="BK30" s="78">
        <f aca="true" t="shared" si="67" ref="BK30:BS30">(BK6/BK22)*100</f>
        <v>49.28511354079058</v>
      </c>
      <c r="BL30" s="78">
        <f t="shared" si="67"/>
        <v>48.44564240790656</v>
      </c>
      <c r="BM30" s="78">
        <f t="shared" si="67"/>
        <v>44.35933147632312</v>
      </c>
      <c r="BN30" s="78">
        <f t="shared" si="67"/>
        <v>31.100250327810226</v>
      </c>
      <c r="BO30" s="78">
        <f t="shared" si="67"/>
        <v>48.26629680998613</v>
      </c>
      <c r="BP30" s="78">
        <f t="shared" si="67"/>
        <v>46.236559139784944</v>
      </c>
      <c r="BQ30" s="78">
        <f t="shared" si="67"/>
        <v>64.15402955282637</v>
      </c>
      <c r="BR30" s="78">
        <f t="shared" si="67"/>
        <v>52.897051215726854</v>
      </c>
      <c r="BS30" s="78">
        <f t="shared" si="67"/>
        <v>56.054361710854764</v>
      </c>
      <c r="CT30" s="134" t="s">
        <v>247</v>
      </c>
      <c r="CU30" s="11">
        <f aca="true" t="shared" si="68" ref="CU30:DD30">(CU10/CU18)*100</f>
        <v>0.2835352727720032</v>
      </c>
      <c r="CV30" s="11">
        <f t="shared" si="68"/>
        <v>0.0777000777000777</v>
      </c>
      <c r="CW30" s="11">
        <f t="shared" si="68"/>
        <v>0.01539408866995074</v>
      </c>
      <c r="CX30" s="11">
        <f t="shared" si="68"/>
        <v>0.24737167594310452</v>
      </c>
      <c r="CY30" s="11">
        <f t="shared" si="68"/>
        <v>0.004041057140547967</v>
      </c>
      <c r="CZ30" s="11">
        <f t="shared" si="68"/>
        <v>0</v>
      </c>
      <c r="DA30" s="11">
        <f t="shared" si="68"/>
        <v>0.3897116134060795</v>
      </c>
      <c r="DB30" s="11">
        <f t="shared" si="68"/>
        <v>0.34324389654338894</v>
      </c>
      <c r="DC30" s="11">
        <f t="shared" si="68"/>
        <v>0.2446407098727039</v>
      </c>
      <c r="DD30" s="62">
        <f t="shared" si="68"/>
        <v>0.2661281128357139</v>
      </c>
    </row>
    <row r="31" spans="13:108" ht="15">
      <c r="M31" s="114" t="s">
        <v>204</v>
      </c>
      <c r="N31" s="116">
        <f>(N9/N19)*100</f>
        <v>8.289965550098952</v>
      </c>
      <c r="O31" s="116">
        <f aca="true" t="shared" si="69" ref="O31:W31">(O9/O19)*100</f>
        <v>9.293523969722456</v>
      </c>
      <c r="P31" s="116">
        <f t="shared" si="69"/>
        <v>8.607367475292003</v>
      </c>
      <c r="Q31" s="116">
        <f t="shared" si="69"/>
        <v>10.236768802228411</v>
      </c>
      <c r="R31" s="116">
        <f t="shared" si="69"/>
        <v>10.412444868279891</v>
      </c>
      <c r="S31" s="116">
        <f t="shared" si="69"/>
        <v>10.679611650485436</v>
      </c>
      <c r="T31" s="116">
        <f t="shared" si="69"/>
        <v>9.594706368899917</v>
      </c>
      <c r="U31" s="116">
        <f t="shared" si="69"/>
        <v>6.772753735687949</v>
      </c>
      <c r="V31" s="116">
        <f t="shared" si="69"/>
        <v>8.623900672529746</v>
      </c>
      <c r="W31" s="116">
        <f t="shared" si="69"/>
        <v>8.06675286828731</v>
      </c>
      <c r="AK31" s="3" t="s">
        <v>109</v>
      </c>
      <c r="AL31" s="106">
        <v>7240</v>
      </c>
      <c r="AM31" s="106">
        <v>35</v>
      </c>
      <c r="AN31" s="106">
        <v>1092</v>
      </c>
      <c r="AO31" s="106">
        <v>79</v>
      </c>
      <c r="AP31" s="106">
        <v>3339</v>
      </c>
      <c r="AQ31" s="106">
        <v>101</v>
      </c>
      <c r="AR31" s="106">
        <v>79</v>
      </c>
      <c r="AS31" s="106">
        <v>2076</v>
      </c>
      <c r="AT31" s="106">
        <v>930</v>
      </c>
      <c r="AU31" s="6">
        <f t="shared" si="23"/>
        <v>14971</v>
      </c>
      <c r="AW31" s="3" t="s">
        <v>114</v>
      </c>
      <c r="AX31" s="43">
        <f>(AL37/AL43)*100</f>
        <v>1.7295036595116549</v>
      </c>
      <c r="AY31" s="43">
        <f aca="true" t="shared" si="70" ref="AY31:BG31">(AM37/AM43)*100</f>
        <v>32.43978243978244</v>
      </c>
      <c r="AZ31" s="43">
        <f t="shared" si="70"/>
        <v>1.000615763546798</v>
      </c>
      <c r="BA31" s="43">
        <f t="shared" si="70"/>
        <v>0.12368583797155226</v>
      </c>
      <c r="BB31" s="43">
        <f t="shared" si="70"/>
        <v>0.6304049139254829</v>
      </c>
      <c r="BC31" s="43">
        <f t="shared" si="70"/>
        <v>2.283653846153846</v>
      </c>
      <c r="BD31" s="43">
        <f t="shared" si="70"/>
        <v>0.46765393608729544</v>
      </c>
      <c r="BE31" s="43">
        <f t="shared" si="70"/>
        <v>0.6115542663766014</v>
      </c>
      <c r="BF31" s="43">
        <f t="shared" si="70"/>
        <v>1.161006758717917</v>
      </c>
      <c r="BG31" s="44">
        <f t="shared" si="70"/>
        <v>1.5247805338849167</v>
      </c>
      <c r="BI31" s="3" t="s">
        <v>223</v>
      </c>
      <c r="BJ31" s="62">
        <f>(BJ7/BJ22)*100</f>
        <v>7.68819174668328</v>
      </c>
      <c r="BK31" s="62">
        <f aca="true" t="shared" si="71" ref="BK31:BS31">(BK7/BK22)*100</f>
        <v>8.830950378469302</v>
      </c>
      <c r="BL31" s="62">
        <f t="shared" si="71"/>
        <v>10.440251572327044</v>
      </c>
      <c r="BM31" s="62">
        <f t="shared" si="71"/>
        <v>5.153203342618385</v>
      </c>
      <c r="BN31" s="62">
        <f t="shared" si="71"/>
        <v>10.960781976397664</v>
      </c>
      <c r="BO31" s="62">
        <f t="shared" si="71"/>
        <v>9.29264909847434</v>
      </c>
      <c r="BP31" s="62">
        <f t="shared" si="71"/>
        <v>7.857733664185278</v>
      </c>
      <c r="BQ31" s="62">
        <f t="shared" si="71"/>
        <v>6.014526905270161</v>
      </c>
      <c r="BR31" s="62">
        <f t="shared" si="71"/>
        <v>7.84790481117434</v>
      </c>
      <c r="BS31" s="62">
        <f t="shared" si="71"/>
        <v>7.504619339112227</v>
      </c>
      <c r="CT31" s="134" t="s">
        <v>248</v>
      </c>
      <c r="CU31" s="11">
        <f aca="true" t="shared" si="72" ref="CU31:DD31">(CU11/CU18)*100</f>
        <v>0.49326526846669533</v>
      </c>
      <c r="CV31" s="11">
        <f t="shared" si="72"/>
        <v>0.1554001554001554</v>
      </c>
      <c r="CW31" s="11">
        <f t="shared" si="72"/>
        <v>0.03078817733990148</v>
      </c>
      <c r="CX31" s="11">
        <f t="shared" si="72"/>
        <v>0</v>
      </c>
      <c r="CY31" s="11">
        <f t="shared" si="72"/>
        <v>0.020205285702739835</v>
      </c>
      <c r="CZ31" s="11">
        <f t="shared" si="72"/>
        <v>0</v>
      </c>
      <c r="DA31" s="11">
        <f t="shared" si="72"/>
        <v>0.23382696804364772</v>
      </c>
      <c r="DB31" s="11">
        <f t="shared" si="72"/>
        <v>0.27314479091128835</v>
      </c>
      <c r="DC31" s="11">
        <f t="shared" si="72"/>
        <v>0.29439814238918605</v>
      </c>
      <c r="DD31" s="62">
        <f t="shared" si="72"/>
        <v>0.3625466212804769</v>
      </c>
    </row>
    <row r="32" spans="13:108" ht="15">
      <c r="M32" s="114" t="s">
        <v>205</v>
      </c>
      <c r="N32" s="116">
        <f>(N10/N19)*100</f>
        <v>4.17796672286154</v>
      </c>
      <c r="O32" s="116">
        <f aca="true" t="shared" si="73" ref="O32:W32">(O10/O19)*100</f>
        <v>6.56013456686291</v>
      </c>
      <c r="P32" s="116">
        <f t="shared" si="73"/>
        <v>3.468104222821204</v>
      </c>
      <c r="Q32" s="116">
        <f t="shared" si="73"/>
        <v>2.9247910863509747</v>
      </c>
      <c r="R32" s="116">
        <f t="shared" si="73"/>
        <v>3.9277625461914414</v>
      </c>
      <c r="S32" s="116">
        <f t="shared" si="73"/>
        <v>3.0513176144244105</v>
      </c>
      <c r="T32" s="116">
        <f t="shared" si="73"/>
        <v>4.549214226633581</v>
      </c>
      <c r="U32" s="116">
        <f t="shared" si="73"/>
        <v>3.461229242327632</v>
      </c>
      <c r="V32" s="116">
        <f t="shared" si="73"/>
        <v>3.9472322814278322</v>
      </c>
      <c r="W32" s="116">
        <f t="shared" si="73"/>
        <v>3.940403689221021</v>
      </c>
      <c r="AK32" s="3" t="s">
        <v>131</v>
      </c>
      <c r="AL32" s="106">
        <v>52</v>
      </c>
      <c r="AM32" s="106">
        <v>0</v>
      </c>
      <c r="AN32" s="106">
        <v>67</v>
      </c>
      <c r="AO32" s="106">
        <v>0</v>
      </c>
      <c r="AP32" s="106">
        <v>25</v>
      </c>
      <c r="AQ32" s="106">
        <v>5</v>
      </c>
      <c r="AR32" s="106">
        <v>1</v>
      </c>
      <c r="AS32" s="106">
        <v>8</v>
      </c>
      <c r="AT32" s="106">
        <v>12</v>
      </c>
      <c r="AU32" s="6">
        <f t="shared" si="23"/>
        <v>170</v>
      </c>
      <c r="AW32" s="3" t="s">
        <v>115</v>
      </c>
      <c r="AX32" s="43">
        <f>(AL38/AL43)*100</f>
        <v>0.022756627098837565</v>
      </c>
      <c r="AY32" s="43">
        <f aca="true" t="shared" si="74" ref="AY32:BG32">(AM38/AM43)*100</f>
        <v>0.03885003885003885</v>
      </c>
      <c r="AZ32" s="43">
        <f t="shared" si="74"/>
        <v>0</v>
      </c>
      <c r="BA32" s="43">
        <f t="shared" si="74"/>
        <v>0.1855287569573284</v>
      </c>
      <c r="BB32" s="43">
        <f t="shared" si="74"/>
        <v>0.15356017134082275</v>
      </c>
      <c r="BC32" s="43">
        <f t="shared" si="74"/>
        <v>0</v>
      </c>
      <c r="BD32" s="43">
        <f t="shared" si="74"/>
        <v>0.0779423226812159</v>
      </c>
      <c r="BE32" s="43">
        <f t="shared" si="74"/>
        <v>0.04230118443316413</v>
      </c>
      <c r="BF32" s="43">
        <f t="shared" si="74"/>
        <v>0.08707550690384376</v>
      </c>
      <c r="BG32" s="44">
        <f t="shared" si="74"/>
        <v>0.04430039577191811</v>
      </c>
      <c r="BI32" s="3" t="s">
        <v>224</v>
      </c>
      <c r="BJ32" s="62">
        <f>(BJ8/BJ22)*100</f>
        <v>48.27897090082826</v>
      </c>
      <c r="BK32" s="62">
        <f aca="true" t="shared" si="75" ref="BK32:BS32">(BK8/BK22)*100</f>
        <v>40.45416316232128</v>
      </c>
      <c r="BL32" s="62">
        <f t="shared" si="75"/>
        <v>38.00539083557952</v>
      </c>
      <c r="BM32" s="62">
        <f t="shared" si="75"/>
        <v>39.20612813370474</v>
      </c>
      <c r="BN32" s="62">
        <f t="shared" si="75"/>
        <v>20.139468351412564</v>
      </c>
      <c r="BO32" s="62">
        <f t="shared" si="75"/>
        <v>38.97364771151179</v>
      </c>
      <c r="BP32" s="62">
        <f t="shared" si="75"/>
        <v>38.37882547559967</v>
      </c>
      <c r="BQ32" s="62">
        <f t="shared" si="75"/>
        <v>58.139502647556206</v>
      </c>
      <c r="BR32" s="62">
        <f t="shared" si="75"/>
        <v>45.04914640455251</v>
      </c>
      <c r="BS32" s="62">
        <f t="shared" si="75"/>
        <v>48.54974237174254</v>
      </c>
      <c r="CT32" s="134" t="s">
        <v>249</v>
      </c>
      <c r="CU32" s="11">
        <f aca="true" t="shared" si="76" ref="CU32:DD32">(CU12/CU18)*100</f>
        <v>0.07934067285810935</v>
      </c>
      <c r="CV32" s="11">
        <f t="shared" si="76"/>
        <v>0</v>
      </c>
      <c r="CW32" s="11">
        <f t="shared" si="76"/>
        <v>0</v>
      </c>
      <c r="CX32" s="11">
        <f t="shared" si="76"/>
        <v>0</v>
      </c>
      <c r="CY32" s="11">
        <f t="shared" si="76"/>
        <v>0.008082114281095934</v>
      </c>
      <c r="CZ32" s="11">
        <f t="shared" si="76"/>
        <v>0</v>
      </c>
      <c r="DA32" s="11">
        <f t="shared" si="76"/>
        <v>0</v>
      </c>
      <c r="DB32" s="11">
        <f t="shared" si="76"/>
        <v>0.04230118443316413</v>
      </c>
      <c r="DC32" s="11">
        <f t="shared" si="76"/>
        <v>0.062196790645602684</v>
      </c>
      <c r="DD32" s="62">
        <f t="shared" si="76"/>
        <v>0.058958614961155724</v>
      </c>
    </row>
    <row r="33" spans="13:108" ht="15">
      <c r="M33" s="114" t="s">
        <v>206</v>
      </c>
      <c r="N33" s="116">
        <f>(N11/N19)*100</f>
        <v>8.386718463681008</v>
      </c>
      <c r="O33" s="116">
        <f aca="true" t="shared" si="77" ref="O33:W33">(O11/O19)*100</f>
        <v>10.344827586206897</v>
      </c>
      <c r="P33" s="116">
        <f t="shared" si="77"/>
        <v>12.129380053908356</v>
      </c>
      <c r="Q33" s="116">
        <f t="shared" si="77"/>
        <v>5.013927576601671</v>
      </c>
      <c r="R33" s="116">
        <f t="shared" si="77"/>
        <v>9.864107760162117</v>
      </c>
      <c r="S33" s="116">
        <f t="shared" si="77"/>
        <v>7.073509015256588</v>
      </c>
      <c r="T33" s="116">
        <f t="shared" si="77"/>
        <v>8.767576509511994</v>
      </c>
      <c r="U33" s="116">
        <f t="shared" si="77"/>
        <v>5.350558620498461</v>
      </c>
      <c r="V33" s="116">
        <f t="shared" si="77"/>
        <v>8.235902741852042</v>
      </c>
      <c r="W33" s="116">
        <f t="shared" si="77"/>
        <v>7.695252530382164</v>
      </c>
      <c r="AK33" s="67" t="s">
        <v>110</v>
      </c>
      <c r="AL33" s="128">
        <v>5510</v>
      </c>
      <c r="AM33" s="128">
        <v>1466</v>
      </c>
      <c r="AN33" s="128">
        <v>2958</v>
      </c>
      <c r="AO33" s="128">
        <v>79</v>
      </c>
      <c r="AP33" s="128">
        <v>8371</v>
      </c>
      <c r="AQ33" s="128">
        <v>232</v>
      </c>
      <c r="AR33" s="128">
        <v>122</v>
      </c>
      <c r="AS33" s="128">
        <v>2984</v>
      </c>
      <c r="AT33" s="128">
        <v>1398</v>
      </c>
      <c r="AU33" s="72">
        <f t="shared" si="23"/>
        <v>23120</v>
      </c>
      <c r="AW33" s="67" t="s">
        <v>116</v>
      </c>
      <c r="AX33" s="130">
        <f>(AL39/AL43)*100</f>
        <v>6.260532628082909</v>
      </c>
      <c r="AY33" s="130">
        <f aca="true" t="shared" si="78" ref="AY33:BG33">(AM39/AM43)*100</f>
        <v>2.1756021756021755</v>
      </c>
      <c r="AZ33" s="130">
        <f t="shared" si="78"/>
        <v>2.2783251231527095</v>
      </c>
      <c r="BA33" s="130">
        <f t="shared" si="78"/>
        <v>8.905380333951761</v>
      </c>
      <c r="BB33" s="130">
        <f t="shared" si="78"/>
        <v>0.6425280853471268</v>
      </c>
      <c r="BC33" s="130">
        <f t="shared" si="78"/>
        <v>0.2403846153846154</v>
      </c>
      <c r="BD33" s="130">
        <f t="shared" si="78"/>
        <v>9.431021044427123</v>
      </c>
      <c r="BE33" s="130">
        <f t="shared" si="78"/>
        <v>3.484408992023205</v>
      </c>
      <c r="BF33" s="130">
        <f t="shared" si="78"/>
        <v>5.137454907326782</v>
      </c>
      <c r="BG33" s="132">
        <f t="shared" si="78"/>
        <v>4.863597126989038</v>
      </c>
      <c r="BI33" s="73" t="s">
        <v>225</v>
      </c>
      <c r="BJ33" s="78">
        <f>(BJ9/BJ22)*100</f>
        <v>11.306164333357765</v>
      </c>
      <c r="BK33" s="78">
        <f aca="true" t="shared" si="79" ref="BK33:BS33">(BK9/BK22)*100</f>
        <v>12.657695542472666</v>
      </c>
      <c r="BL33" s="78">
        <f t="shared" si="79"/>
        <v>9.667565139263253</v>
      </c>
      <c r="BM33" s="78">
        <f t="shared" si="79"/>
        <v>15.807799442896936</v>
      </c>
      <c r="BN33" s="78">
        <f t="shared" si="79"/>
        <v>10.036953152938372</v>
      </c>
      <c r="BO33" s="78">
        <f t="shared" si="79"/>
        <v>11.650485436893204</v>
      </c>
      <c r="BP33" s="78">
        <f t="shared" si="79"/>
        <v>17.3697270471464</v>
      </c>
      <c r="BQ33" s="78">
        <f t="shared" si="79"/>
        <v>12.284106345817971</v>
      </c>
      <c r="BR33" s="78">
        <f t="shared" si="79"/>
        <v>12.891877909984482</v>
      </c>
      <c r="BS33" s="78">
        <f t="shared" si="79"/>
        <v>11.650109965662587</v>
      </c>
      <c r="CT33" s="134" t="s">
        <v>92</v>
      </c>
      <c r="CU33" s="11">
        <f aca="true" t="shared" si="80" ref="CU33:DD33">(CU13/CU18)*100</f>
        <v>0.39485823236361406</v>
      </c>
      <c r="CV33" s="11">
        <f t="shared" si="80"/>
        <v>0.19425019425019424</v>
      </c>
      <c r="CW33" s="11">
        <f t="shared" si="80"/>
        <v>0.20012315270935963</v>
      </c>
      <c r="CX33" s="11">
        <f t="shared" si="80"/>
        <v>0.24737167594310452</v>
      </c>
      <c r="CY33" s="11">
        <f t="shared" si="80"/>
        <v>0.10102642851369918</v>
      </c>
      <c r="CZ33" s="11">
        <f t="shared" si="80"/>
        <v>0</v>
      </c>
      <c r="DA33" s="11">
        <f t="shared" si="80"/>
        <v>1.0911925175370227</v>
      </c>
      <c r="DB33" s="11">
        <f t="shared" si="80"/>
        <v>0.5414551607445008</v>
      </c>
      <c r="DC33" s="11">
        <f t="shared" si="80"/>
        <v>0.5141601360036488</v>
      </c>
      <c r="DD33" s="62">
        <f t="shared" si="80"/>
        <v>0.4153162103617322</v>
      </c>
    </row>
    <row r="34" spans="13:108" ht="15">
      <c r="M34" s="114" t="s">
        <v>207</v>
      </c>
      <c r="N34" s="116">
        <f>(N12/N19)*100</f>
        <v>6.763175254709375</v>
      </c>
      <c r="O34" s="116">
        <f aca="true" t="shared" si="81" ref="O34:W34">(O12/O19)*100</f>
        <v>5.887300252312868</v>
      </c>
      <c r="P34" s="116">
        <f t="shared" si="81"/>
        <v>4.923629829290207</v>
      </c>
      <c r="Q34" s="116">
        <f t="shared" si="81"/>
        <v>2.2284122562674096</v>
      </c>
      <c r="R34" s="116">
        <f t="shared" si="81"/>
        <v>5.7933007509834304</v>
      </c>
      <c r="S34" s="116">
        <f t="shared" si="81"/>
        <v>4.854368932038835</v>
      </c>
      <c r="T34" s="116">
        <f t="shared" si="81"/>
        <v>6.20347394540943</v>
      </c>
      <c r="U34" s="116">
        <f t="shared" si="81"/>
        <v>4.04064206703446</v>
      </c>
      <c r="V34" s="116">
        <f t="shared" si="81"/>
        <v>6.264873254009312</v>
      </c>
      <c r="W34" s="116">
        <f t="shared" si="81"/>
        <v>5.813140408376922</v>
      </c>
      <c r="AK34" s="3" t="s">
        <v>111</v>
      </c>
      <c r="AL34" s="42">
        <v>573</v>
      </c>
      <c r="AM34" s="42">
        <v>1</v>
      </c>
      <c r="AN34" s="42">
        <v>20</v>
      </c>
      <c r="AO34" s="42">
        <v>59</v>
      </c>
      <c r="AP34" s="42">
        <v>1263</v>
      </c>
      <c r="AQ34" s="42">
        <v>0</v>
      </c>
      <c r="AR34" s="42">
        <v>32</v>
      </c>
      <c r="AS34" s="42">
        <v>546</v>
      </c>
      <c r="AT34" s="42">
        <v>228</v>
      </c>
      <c r="AU34" s="6">
        <f t="shared" si="23"/>
        <v>2722</v>
      </c>
      <c r="AW34" s="3" t="s">
        <v>117</v>
      </c>
      <c r="AX34" s="43">
        <f>(AL40/AL43)*100</f>
        <v>3.9498124115874287</v>
      </c>
      <c r="AY34" s="43">
        <f aca="true" t="shared" si="82" ref="AY34:BG34">(AM40/AM43)*100</f>
        <v>1.2043512043512044</v>
      </c>
      <c r="AZ34" s="43">
        <f t="shared" si="82"/>
        <v>0.83128078817734</v>
      </c>
      <c r="BA34" s="43">
        <f t="shared" si="82"/>
        <v>7.66852195423624</v>
      </c>
      <c r="BB34" s="43">
        <f t="shared" si="82"/>
        <v>0.43239311403863256</v>
      </c>
      <c r="BC34" s="43">
        <f t="shared" si="82"/>
        <v>0.2403846153846154</v>
      </c>
      <c r="BD34" s="43">
        <f t="shared" si="82"/>
        <v>5.767731878409977</v>
      </c>
      <c r="BE34" s="43">
        <f t="shared" si="82"/>
        <v>2.4643461445491903</v>
      </c>
      <c r="BF34" s="43">
        <f t="shared" si="82"/>
        <v>3.8022971348011776</v>
      </c>
      <c r="BG34" s="44">
        <f t="shared" si="82"/>
        <v>3.182462255085588</v>
      </c>
      <c r="BI34" s="3" t="s">
        <v>226</v>
      </c>
      <c r="BJ34" s="62">
        <f>(BJ10/BJ22)*100</f>
        <v>3.326247892692223</v>
      </c>
      <c r="BK34" s="62">
        <f aca="true" t="shared" si="83" ref="BK34:BS34">(BK10/BK22)*100</f>
        <v>4.247266610597141</v>
      </c>
      <c r="BL34" s="62">
        <f t="shared" si="83"/>
        <v>2.6594788858939804</v>
      </c>
      <c r="BM34" s="62">
        <f t="shared" si="83"/>
        <v>5.2924791086350975</v>
      </c>
      <c r="BN34" s="62">
        <f t="shared" si="83"/>
        <v>4.893312671355346</v>
      </c>
      <c r="BO34" s="62">
        <f t="shared" si="83"/>
        <v>4.0221914008321775</v>
      </c>
      <c r="BP34" s="62">
        <f t="shared" si="83"/>
        <v>6.865177832919768</v>
      </c>
      <c r="BQ34" s="62">
        <f t="shared" si="83"/>
        <v>3.244989049374844</v>
      </c>
      <c r="BR34" s="62">
        <f t="shared" si="83"/>
        <v>4.030005173305742</v>
      </c>
      <c r="BS34" s="62">
        <f t="shared" si="83"/>
        <v>3.482962158530249</v>
      </c>
      <c r="CT34" s="134" t="s">
        <v>93</v>
      </c>
      <c r="CU34" s="11">
        <f aca="true" t="shared" si="84" ref="CU34:DD34">(CU14/CU18)*100</f>
        <v>2.8107509686942618</v>
      </c>
      <c r="CV34" s="11">
        <f t="shared" si="84"/>
        <v>0.4662004662004662</v>
      </c>
      <c r="CW34" s="11">
        <f t="shared" si="84"/>
        <v>0.09236453201970443</v>
      </c>
      <c r="CX34" s="11">
        <f t="shared" si="84"/>
        <v>0.49474335188620905</v>
      </c>
      <c r="CY34" s="11">
        <f t="shared" si="84"/>
        <v>0.20205285702739836</v>
      </c>
      <c r="CZ34" s="11">
        <f t="shared" si="84"/>
        <v>0</v>
      </c>
      <c r="DA34" s="11">
        <f t="shared" si="84"/>
        <v>1.2470771628994544</v>
      </c>
      <c r="DB34" s="11">
        <f t="shared" si="84"/>
        <v>0.9076625574087502</v>
      </c>
      <c r="DC34" s="11">
        <f t="shared" si="84"/>
        <v>1.6793133474312727</v>
      </c>
      <c r="DD34" s="62">
        <f t="shared" si="84"/>
        <v>1.8951448720663202</v>
      </c>
    </row>
    <row r="35" spans="13:108" ht="15">
      <c r="M35" s="114" t="s">
        <v>208</v>
      </c>
      <c r="N35" s="116">
        <f>(N13/N19)*100</f>
        <v>4.51293703730851</v>
      </c>
      <c r="O35" s="116">
        <f aca="true" t="shared" si="85" ref="O35:W35">(O13/O19)*100</f>
        <v>6.433978132884777</v>
      </c>
      <c r="P35" s="116">
        <f t="shared" si="85"/>
        <v>10.440251572327044</v>
      </c>
      <c r="Q35" s="116">
        <f t="shared" si="85"/>
        <v>6.197771587743732</v>
      </c>
      <c r="R35" s="116">
        <f t="shared" si="85"/>
        <v>22.106329717487185</v>
      </c>
      <c r="S35" s="116">
        <f t="shared" si="85"/>
        <v>5.9639389736477115</v>
      </c>
      <c r="T35" s="116">
        <f t="shared" si="85"/>
        <v>5.5417700578990905</v>
      </c>
      <c r="U35" s="116">
        <f t="shared" si="85"/>
        <v>3.645587868370713</v>
      </c>
      <c r="V35" s="116">
        <f t="shared" si="85"/>
        <v>6.249353336782204</v>
      </c>
      <c r="W35" s="116">
        <f t="shared" si="85"/>
        <v>5.717823812741954</v>
      </c>
      <c r="AK35" s="3" t="s">
        <v>112</v>
      </c>
      <c r="AL35" s="42">
        <v>808</v>
      </c>
      <c r="AM35" s="42">
        <v>412</v>
      </c>
      <c r="AN35" s="42">
        <v>8</v>
      </c>
      <c r="AO35" s="42">
        <v>5</v>
      </c>
      <c r="AP35" s="42">
        <v>20</v>
      </c>
      <c r="AQ35" s="42">
        <v>0</v>
      </c>
      <c r="AR35" s="42">
        <v>22</v>
      </c>
      <c r="AS35" s="42">
        <v>1542</v>
      </c>
      <c r="AT35" s="42">
        <v>279</v>
      </c>
      <c r="AU35" s="6">
        <f t="shared" si="23"/>
        <v>3096</v>
      </c>
      <c r="AW35" s="3" t="s">
        <v>118</v>
      </c>
      <c r="AX35" s="43">
        <f>(AL41/AL43)*100</f>
        <v>2.310720216495479</v>
      </c>
      <c r="AY35" s="43">
        <f aca="true" t="shared" si="86" ref="AY35:BG35">(AM41/AM43)*100</f>
        <v>0.9712509712509712</v>
      </c>
      <c r="AZ35" s="43">
        <f t="shared" si="86"/>
        <v>1.4470443349753694</v>
      </c>
      <c r="BA35" s="43">
        <f t="shared" si="86"/>
        <v>1.2368583797155226</v>
      </c>
      <c r="BB35" s="43">
        <f t="shared" si="86"/>
        <v>0.2101349713084943</v>
      </c>
      <c r="BC35" s="43">
        <f t="shared" si="86"/>
        <v>0</v>
      </c>
      <c r="BD35" s="43">
        <f t="shared" si="86"/>
        <v>3.6632891660171474</v>
      </c>
      <c r="BE35" s="43">
        <f t="shared" si="86"/>
        <v>1.020062847474015</v>
      </c>
      <c r="BF35" s="43">
        <f t="shared" si="86"/>
        <v>1.3351577725256043</v>
      </c>
      <c r="BG35" s="44">
        <f t="shared" si="86"/>
        <v>1.6811348719034513</v>
      </c>
      <c r="BI35" s="3" t="s">
        <v>227</v>
      </c>
      <c r="BJ35" s="62">
        <f>(BJ11/BJ22)*100</f>
        <v>7.9799164406655425</v>
      </c>
      <c r="BK35" s="62">
        <f aca="true" t="shared" si="87" ref="BK35:BS35">(BK11/BK22)*100</f>
        <v>8.410428931875526</v>
      </c>
      <c r="BL35" s="62">
        <f t="shared" si="87"/>
        <v>7.008086253369273</v>
      </c>
      <c r="BM35" s="62">
        <f t="shared" si="87"/>
        <v>10.515320334261839</v>
      </c>
      <c r="BN35" s="62">
        <f t="shared" si="87"/>
        <v>5.1436404815830254</v>
      </c>
      <c r="BO35" s="62">
        <f t="shared" si="87"/>
        <v>7.628294036061026</v>
      </c>
      <c r="BP35" s="62">
        <f t="shared" si="87"/>
        <v>10.504549214226634</v>
      </c>
      <c r="BQ35" s="62">
        <f t="shared" si="87"/>
        <v>9.039117296443127</v>
      </c>
      <c r="BR35" s="62">
        <f t="shared" si="87"/>
        <v>8.861872736678738</v>
      </c>
      <c r="BS35" s="62">
        <f t="shared" si="87"/>
        <v>8.167147807132338</v>
      </c>
      <c r="CT35" s="134" t="s">
        <v>94</v>
      </c>
      <c r="CU35" s="11">
        <f aca="true" t="shared" si="88" ref="CU35:DD35">(CU15/CU18)*100</f>
        <v>0.21465034749984627</v>
      </c>
      <c r="CV35" s="11">
        <f t="shared" si="88"/>
        <v>0.3108003108003108</v>
      </c>
      <c r="CW35" s="11">
        <f t="shared" si="88"/>
        <v>0.01539408866995074</v>
      </c>
      <c r="CX35" s="11">
        <f t="shared" si="88"/>
        <v>0</v>
      </c>
      <c r="CY35" s="11">
        <f t="shared" si="88"/>
        <v>0.004041057140547967</v>
      </c>
      <c r="CZ35" s="11">
        <f t="shared" si="88"/>
        <v>0</v>
      </c>
      <c r="DA35" s="11">
        <f t="shared" si="88"/>
        <v>0.3897116134060795</v>
      </c>
      <c r="DB35" s="11">
        <f t="shared" si="88"/>
        <v>0.15228426395939085</v>
      </c>
      <c r="DC35" s="11">
        <f t="shared" si="88"/>
        <v>0.15341875025915327</v>
      </c>
      <c r="DD35" s="62">
        <f t="shared" si="88"/>
        <v>0.17166403361618265</v>
      </c>
    </row>
    <row r="36" spans="13:108" ht="15">
      <c r="M36" s="115" t="s">
        <v>209</v>
      </c>
      <c r="N36" s="13">
        <f>(N14/N19)*100</f>
        <v>3.175987685992817</v>
      </c>
      <c r="O36" s="13">
        <f aca="true" t="shared" si="89" ref="O36:W36">(O14/O19)*100</f>
        <v>4.878048780487805</v>
      </c>
      <c r="P36" s="13">
        <f t="shared" si="89"/>
        <v>8.858939802336028</v>
      </c>
      <c r="Q36" s="13">
        <f t="shared" si="89"/>
        <v>4.944289693593315</v>
      </c>
      <c r="R36" s="13">
        <f t="shared" si="89"/>
        <v>19.829538681606866</v>
      </c>
      <c r="S36" s="13">
        <f t="shared" si="89"/>
        <v>4.5769764216366156</v>
      </c>
      <c r="T36" s="13">
        <f t="shared" si="89"/>
        <v>2.729528535980149</v>
      </c>
      <c r="U36" s="13">
        <f t="shared" si="89"/>
        <v>2.362008261484295</v>
      </c>
      <c r="V36" s="13">
        <f t="shared" si="89"/>
        <v>4.749094671495086</v>
      </c>
      <c r="W36" s="13">
        <f t="shared" si="89"/>
        <v>4.307997609272273</v>
      </c>
      <c r="AK36" s="3" t="s">
        <v>113</v>
      </c>
      <c r="AL36" s="42">
        <v>1280</v>
      </c>
      <c r="AM36" s="42">
        <v>217</v>
      </c>
      <c r="AN36" s="42">
        <v>2865</v>
      </c>
      <c r="AO36" s="42">
        <v>10</v>
      </c>
      <c r="AP36" s="42">
        <v>6894</v>
      </c>
      <c r="AQ36" s="42">
        <v>213</v>
      </c>
      <c r="AR36" s="42">
        <v>61</v>
      </c>
      <c r="AS36" s="42">
        <v>355</v>
      </c>
      <c r="AT36" s="42">
        <v>590</v>
      </c>
      <c r="AU36" s="6">
        <f t="shared" si="23"/>
        <v>12485</v>
      </c>
      <c r="AW36" s="67" t="s">
        <v>119</v>
      </c>
      <c r="AX36" s="130">
        <f>(AL42/AL43)*100</f>
        <v>2.6834368657359002</v>
      </c>
      <c r="AY36" s="130">
        <f aca="true" t="shared" si="90" ref="AY36:BG36">(AM42/AM43)*100</f>
        <v>1.6317016317016315</v>
      </c>
      <c r="AZ36" s="130">
        <f t="shared" si="90"/>
        <v>0.5233990147783251</v>
      </c>
      <c r="BA36" s="130">
        <f t="shared" si="90"/>
        <v>1.051329622758194</v>
      </c>
      <c r="BB36" s="130">
        <f t="shared" si="90"/>
        <v>0.04041057140547967</v>
      </c>
      <c r="BC36" s="130">
        <f t="shared" si="90"/>
        <v>0.7211538461538461</v>
      </c>
      <c r="BD36" s="130">
        <f t="shared" si="90"/>
        <v>2.5720966484801244</v>
      </c>
      <c r="BE36" s="130">
        <f t="shared" si="90"/>
        <v>5.152284263959391</v>
      </c>
      <c r="BF36" s="130">
        <f t="shared" si="90"/>
        <v>2.263963179499938</v>
      </c>
      <c r="BG36" s="132">
        <f t="shared" si="90"/>
        <v>3.03392563396798</v>
      </c>
      <c r="BI36" s="73" t="s">
        <v>228</v>
      </c>
      <c r="BJ36" s="78">
        <f>(BJ12/BJ22)*100</f>
        <v>2.0816535952503115</v>
      </c>
      <c r="BK36" s="78">
        <f aca="true" t="shared" si="91" ref="BK36:BS36">(BK12/BK22)*100</f>
        <v>3.7846930193439863</v>
      </c>
      <c r="BL36" s="78">
        <f t="shared" si="91"/>
        <v>4.204851752021564</v>
      </c>
      <c r="BM36" s="78">
        <f t="shared" si="91"/>
        <v>1.8105849582172702</v>
      </c>
      <c r="BN36" s="78">
        <f t="shared" si="91"/>
        <v>4.2913338896173565</v>
      </c>
      <c r="BO36" s="78">
        <f t="shared" si="91"/>
        <v>3.467406380027739</v>
      </c>
      <c r="BP36" s="78">
        <f t="shared" si="91"/>
        <v>2.3986765922249793</v>
      </c>
      <c r="BQ36" s="78">
        <f t="shared" si="91"/>
        <v>2.4354744808849214</v>
      </c>
      <c r="BR36" s="78">
        <f t="shared" si="91"/>
        <v>2.079668908432488</v>
      </c>
      <c r="BS36" s="78">
        <f t="shared" si="91"/>
        <v>2.3918996519381692</v>
      </c>
      <c r="CT36" s="134" t="s">
        <v>250</v>
      </c>
      <c r="CU36" s="11">
        <f aca="true" t="shared" si="92" ref="CU36:DD36">(CU16/CU18)*100</f>
        <v>21.28851712897472</v>
      </c>
      <c r="CV36" s="11">
        <f t="shared" si="92"/>
        <v>45.18259518259518</v>
      </c>
      <c r="CW36" s="11">
        <f t="shared" si="92"/>
        <v>28.23275862068966</v>
      </c>
      <c r="CX36" s="11">
        <f t="shared" si="92"/>
        <v>16.94495980210266</v>
      </c>
      <c r="CY36" s="11">
        <f t="shared" si="92"/>
        <v>33.22557180958539</v>
      </c>
      <c r="CZ36" s="11">
        <f t="shared" si="92"/>
        <v>14.423076923076922</v>
      </c>
      <c r="DA36" s="11">
        <f t="shared" si="92"/>
        <v>20.810600155884647</v>
      </c>
      <c r="DB36" s="11">
        <f t="shared" si="92"/>
        <v>17.174280879864636</v>
      </c>
      <c r="DC36" s="11">
        <f t="shared" si="92"/>
        <v>19.189783140523282</v>
      </c>
      <c r="DD36" s="62">
        <f t="shared" si="92"/>
        <v>21.280802618935162</v>
      </c>
    </row>
    <row r="37" spans="13:108" ht="15">
      <c r="M37" s="115" t="s">
        <v>210</v>
      </c>
      <c r="N37" s="13">
        <f>(N15/N19)*100</f>
        <v>1.336949351315693</v>
      </c>
      <c r="O37" s="13">
        <f aca="true" t="shared" si="93" ref="O37:W37">(O15/O19)*100</f>
        <v>1.5559293523969722</v>
      </c>
      <c r="P37" s="13">
        <f t="shared" si="93"/>
        <v>1.5813117699910153</v>
      </c>
      <c r="Q37" s="13">
        <f t="shared" si="93"/>
        <v>1.2534818941504178</v>
      </c>
      <c r="R37" s="13">
        <f t="shared" si="93"/>
        <v>2.2767910358803194</v>
      </c>
      <c r="S37" s="13">
        <f t="shared" si="93"/>
        <v>1.3869625520110958</v>
      </c>
      <c r="T37" s="13">
        <f t="shared" si="93"/>
        <v>2.8122415219189416</v>
      </c>
      <c r="U37" s="13">
        <f t="shared" si="93"/>
        <v>1.2835796068864185</v>
      </c>
      <c r="V37" s="13">
        <f t="shared" si="93"/>
        <v>1.5002586652871184</v>
      </c>
      <c r="W37" s="13">
        <f t="shared" si="93"/>
        <v>1.4098262034696802</v>
      </c>
      <c r="AK37" s="3" t="s">
        <v>114</v>
      </c>
      <c r="AL37" s="42">
        <v>2812</v>
      </c>
      <c r="AM37" s="42">
        <v>835</v>
      </c>
      <c r="AN37" s="42">
        <v>65</v>
      </c>
      <c r="AO37" s="42">
        <v>2</v>
      </c>
      <c r="AP37" s="42">
        <v>156</v>
      </c>
      <c r="AQ37" s="42">
        <v>19</v>
      </c>
      <c r="AR37" s="42">
        <v>6</v>
      </c>
      <c r="AS37" s="42">
        <v>506</v>
      </c>
      <c r="AT37" s="42">
        <v>280</v>
      </c>
      <c r="AU37" s="6">
        <f t="shared" si="23"/>
        <v>4681</v>
      </c>
      <c r="AW37" s="127" t="s">
        <v>48</v>
      </c>
      <c r="AX37" s="44">
        <f>AX10+AX11+AX12+AX13+AX14+AX15+AX16+AX19+AX20+AX21+AX23+AX24+AX25+AX26+AX28+AX29+AX30+AX31+AX32+AX34+AX35+AX36</f>
        <v>99.99999999999999</v>
      </c>
      <c r="AY37" s="44">
        <f aca="true" t="shared" si="94" ref="AY37:BG37">AY10+AY11+AY12+AY13+AY14+AY15+AY16+AY19+AY20+AY21+AY23+AY24+AY25+AY26+AY28+AY29+AY30+AY31+AY32+AY34+AY35+AY36</f>
        <v>99.99999999999999</v>
      </c>
      <c r="AZ37" s="44">
        <f t="shared" si="94"/>
        <v>100</v>
      </c>
      <c r="BA37" s="44">
        <f t="shared" si="94"/>
        <v>99.99999999999997</v>
      </c>
      <c r="BB37" s="44">
        <f t="shared" si="94"/>
        <v>100.00000000000001</v>
      </c>
      <c r="BC37" s="44">
        <f t="shared" si="94"/>
        <v>99.99999999999997</v>
      </c>
      <c r="BD37" s="44">
        <f t="shared" si="94"/>
        <v>99.99999999999999</v>
      </c>
      <c r="BE37" s="44">
        <f t="shared" si="94"/>
        <v>99.99999999999999</v>
      </c>
      <c r="BF37" s="44">
        <f t="shared" si="94"/>
        <v>100.00000000000003</v>
      </c>
      <c r="BG37" s="44">
        <f t="shared" si="94"/>
        <v>100.00000000000001</v>
      </c>
      <c r="BI37" s="68" t="s">
        <v>229</v>
      </c>
      <c r="BJ37" s="77">
        <f>(BJ13/BJ22)*100</f>
        <v>3.88770798211537</v>
      </c>
      <c r="BK37" s="77">
        <f aca="true" t="shared" si="95" ref="BK37:BS37">(BK13/BK22)*100</f>
        <v>4.583683767872161</v>
      </c>
      <c r="BL37" s="77">
        <f t="shared" si="95"/>
        <v>4.977538185085355</v>
      </c>
      <c r="BM37" s="77">
        <f t="shared" si="95"/>
        <v>3.064066852367688</v>
      </c>
      <c r="BN37" s="77">
        <f t="shared" si="95"/>
        <v>9.256168792466326</v>
      </c>
      <c r="BO37" s="77">
        <f t="shared" si="95"/>
        <v>6.934812760055478</v>
      </c>
      <c r="BP37" s="77">
        <f t="shared" si="95"/>
        <v>6.2861869313482215</v>
      </c>
      <c r="BQ37" s="77">
        <f t="shared" si="95"/>
        <v>4.055889772947798</v>
      </c>
      <c r="BR37" s="77">
        <f t="shared" si="95"/>
        <v>4.666321779617175</v>
      </c>
      <c r="BS37" s="77">
        <f t="shared" si="95"/>
        <v>4.391204309560177</v>
      </c>
      <c r="CT37" s="134" t="s">
        <v>95</v>
      </c>
      <c r="CU37" s="11">
        <f aca="true" t="shared" si="96" ref="CU37:DD37">(CU17/CU18)*100</f>
        <v>2.3845254935727906</v>
      </c>
      <c r="CV37" s="11">
        <f t="shared" si="96"/>
        <v>4.001554001554002</v>
      </c>
      <c r="CW37" s="11">
        <f t="shared" si="96"/>
        <v>2.601600985221675</v>
      </c>
      <c r="CX37" s="11">
        <f t="shared" si="96"/>
        <v>4.1434755720470005</v>
      </c>
      <c r="CY37" s="11">
        <f t="shared" si="96"/>
        <v>3.1722298553301544</v>
      </c>
      <c r="CZ37" s="11">
        <f t="shared" si="96"/>
        <v>3.245192307692308</v>
      </c>
      <c r="DA37" s="11">
        <f t="shared" si="96"/>
        <v>2.7279812938425563</v>
      </c>
      <c r="DB37" s="11">
        <f t="shared" si="96"/>
        <v>2.144065748126662</v>
      </c>
      <c r="DC37" s="11">
        <f t="shared" si="96"/>
        <v>2.720072977567691</v>
      </c>
      <c r="DD37" s="62">
        <f t="shared" si="96"/>
        <v>2.4407563641101646</v>
      </c>
    </row>
    <row r="38" spans="13:108" ht="15">
      <c r="M38" s="114" t="s">
        <v>211</v>
      </c>
      <c r="N38" s="116">
        <f>(N16/N19)*100</f>
        <v>6.787363483104889</v>
      </c>
      <c r="O38" s="116">
        <f aca="true" t="shared" si="97" ref="O38:W38">(O16/O19)*100</f>
        <v>13.246425567703954</v>
      </c>
      <c r="P38" s="116">
        <f t="shared" si="97"/>
        <v>12.991913746630729</v>
      </c>
      <c r="Q38" s="116">
        <f t="shared" si="97"/>
        <v>5.779944289693593</v>
      </c>
      <c r="R38" s="116">
        <f t="shared" si="97"/>
        <v>19.883180355227083</v>
      </c>
      <c r="S38" s="116">
        <f t="shared" si="97"/>
        <v>13.730929264909847</v>
      </c>
      <c r="T38" s="116">
        <f t="shared" si="97"/>
        <v>9.181141439205955</v>
      </c>
      <c r="U38" s="116">
        <f t="shared" si="97"/>
        <v>8.667627734190901</v>
      </c>
      <c r="V38" s="116">
        <f t="shared" si="97"/>
        <v>8.132436627004656</v>
      </c>
      <c r="W38" s="116">
        <f t="shared" si="97"/>
        <v>8.497240115786225</v>
      </c>
      <c r="AK38" s="3" t="s">
        <v>115</v>
      </c>
      <c r="AL38" s="42">
        <v>37</v>
      </c>
      <c r="AM38" s="42">
        <v>1</v>
      </c>
      <c r="AN38" s="42">
        <v>0</v>
      </c>
      <c r="AO38" s="42">
        <v>3</v>
      </c>
      <c r="AP38" s="42">
        <v>38</v>
      </c>
      <c r="AQ38" s="42">
        <v>0</v>
      </c>
      <c r="AR38" s="42">
        <v>1</v>
      </c>
      <c r="AS38" s="42">
        <v>35</v>
      </c>
      <c r="AT38" s="42">
        <v>21</v>
      </c>
      <c r="AU38" s="6">
        <f t="shared" si="23"/>
        <v>136</v>
      </c>
      <c r="AW38" s="117" t="s">
        <v>218</v>
      </c>
      <c r="AX38" s="97"/>
      <c r="AY38" s="97"/>
      <c r="AZ38" s="97"/>
      <c r="BA38" s="97"/>
      <c r="BB38" s="97"/>
      <c r="BC38" s="97"/>
      <c r="BD38" s="97"/>
      <c r="BE38" s="97"/>
      <c r="BF38" s="97"/>
      <c r="BG38" s="58" t="s">
        <v>18</v>
      </c>
      <c r="BI38" s="3" t="s">
        <v>230</v>
      </c>
      <c r="BJ38" s="62">
        <f>(BJ14/BJ22)*100</f>
        <v>3.308656453859122</v>
      </c>
      <c r="BK38" s="62">
        <f aca="true" t="shared" si="98" ref="BK38:BS38">(BK14/BK22)*100</f>
        <v>3.8267451640033645</v>
      </c>
      <c r="BL38" s="62">
        <f t="shared" si="98"/>
        <v>3.719676549865229</v>
      </c>
      <c r="BM38" s="62">
        <f t="shared" si="98"/>
        <v>2.785515320334262</v>
      </c>
      <c r="BN38" s="62">
        <f t="shared" si="98"/>
        <v>6.711169388484921</v>
      </c>
      <c r="BO38" s="62">
        <f t="shared" si="98"/>
        <v>4.5769764216366156</v>
      </c>
      <c r="BP38" s="62">
        <f t="shared" si="98"/>
        <v>5.376344086021505</v>
      </c>
      <c r="BQ38" s="62">
        <f t="shared" si="98"/>
        <v>3.4487538465803556</v>
      </c>
      <c r="BR38" s="62">
        <f t="shared" si="98"/>
        <v>4.019658561821004</v>
      </c>
      <c r="BS38" s="62">
        <f t="shared" si="98"/>
        <v>3.648984917320666</v>
      </c>
      <c r="CT38" s="127" t="s">
        <v>20</v>
      </c>
      <c r="CU38" s="131">
        <f>SUM(CU24:CU37)</f>
        <v>99.99999999999999</v>
      </c>
      <c r="CV38" s="131">
        <f aca="true" t="shared" si="99" ref="CV38:DD38">SUM(CV24:CV37)</f>
        <v>99.99999999999999</v>
      </c>
      <c r="CW38" s="131">
        <f t="shared" si="99"/>
        <v>100.00000000000001</v>
      </c>
      <c r="CX38" s="131">
        <f t="shared" si="99"/>
        <v>99.99999999999999</v>
      </c>
      <c r="CY38" s="131">
        <f t="shared" si="99"/>
        <v>99.99999999999999</v>
      </c>
      <c r="CZ38" s="131">
        <f t="shared" si="99"/>
        <v>99.99999999999997</v>
      </c>
      <c r="DA38" s="131">
        <f t="shared" si="99"/>
        <v>99.99999999999999</v>
      </c>
      <c r="DB38" s="131">
        <f t="shared" si="99"/>
        <v>100.00000000000001</v>
      </c>
      <c r="DC38" s="131">
        <f t="shared" si="99"/>
        <v>100</v>
      </c>
      <c r="DD38" s="131">
        <f t="shared" si="99"/>
        <v>100.00000000000003</v>
      </c>
    </row>
    <row r="39" spans="13:108" ht="15">
      <c r="M39" s="115" t="s">
        <v>212</v>
      </c>
      <c r="N39" s="13">
        <f>(N17/N19)*100</f>
        <v>6.787363483104889</v>
      </c>
      <c r="O39" s="13">
        <f aca="true" t="shared" si="100" ref="O39:W39">(O17/O19)*100</f>
        <v>13.246425567703954</v>
      </c>
      <c r="P39" s="13">
        <f t="shared" si="100"/>
        <v>12.991913746630729</v>
      </c>
      <c r="Q39" s="13">
        <f t="shared" si="100"/>
        <v>5.779944289693593</v>
      </c>
      <c r="R39" s="13">
        <f t="shared" si="100"/>
        <v>19.883180355227083</v>
      </c>
      <c r="S39" s="13">
        <f t="shared" si="100"/>
        <v>13.730929264909847</v>
      </c>
      <c r="T39" s="13">
        <f t="shared" si="100"/>
        <v>9.181141439205955</v>
      </c>
      <c r="U39" s="13">
        <f t="shared" si="100"/>
        <v>8.667627734190901</v>
      </c>
      <c r="V39" s="13">
        <f t="shared" si="100"/>
        <v>8.132436627004656</v>
      </c>
      <c r="W39" s="13">
        <f t="shared" si="100"/>
        <v>8.497240115786225</v>
      </c>
      <c r="AK39" s="67" t="s">
        <v>116</v>
      </c>
      <c r="AL39" s="128">
        <v>10179</v>
      </c>
      <c r="AM39" s="128">
        <v>56</v>
      </c>
      <c r="AN39" s="128">
        <v>148</v>
      </c>
      <c r="AO39" s="128">
        <v>144</v>
      </c>
      <c r="AP39" s="128">
        <v>159</v>
      </c>
      <c r="AQ39" s="128">
        <v>2</v>
      </c>
      <c r="AR39" s="128">
        <v>121</v>
      </c>
      <c r="AS39" s="128">
        <v>2883</v>
      </c>
      <c r="AT39" s="128">
        <v>1239</v>
      </c>
      <c r="AU39" s="72">
        <f t="shared" si="23"/>
        <v>14931</v>
      </c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58" t="s">
        <v>31</v>
      </c>
      <c r="BI39" s="3" t="s">
        <v>231</v>
      </c>
      <c r="BJ39" s="62">
        <f>(BJ15/BJ22)*100</f>
        <v>0.5790515282562486</v>
      </c>
      <c r="BK39" s="62">
        <f aca="true" t="shared" si="101" ref="BK39:BS39">(BK15/BK22)*100</f>
        <v>0.7569386038687973</v>
      </c>
      <c r="BL39" s="62">
        <f t="shared" si="101"/>
        <v>1.257861635220126</v>
      </c>
      <c r="BM39" s="62">
        <f t="shared" si="101"/>
        <v>0.2785515320334262</v>
      </c>
      <c r="BN39" s="62">
        <f t="shared" si="101"/>
        <v>2.544999403981404</v>
      </c>
      <c r="BO39" s="62">
        <f t="shared" si="101"/>
        <v>2.3578363384188625</v>
      </c>
      <c r="BP39" s="62">
        <f t="shared" si="101"/>
        <v>0.9098428453267163</v>
      </c>
      <c r="BQ39" s="62">
        <f t="shared" si="101"/>
        <v>0.607135926367442</v>
      </c>
      <c r="BR39" s="62">
        <f t="shared" si="101"/>
        <v>0.6466632177961718</v>
      </c>
      <c r="BS39" s="62">
        <f t="shared" si="101"/>
        <v>0.7422193922395103</v>
      </c>
      <c r="CT39" s="57" t="s">
        <v>251</v>
      </c>
      <c r="CU39" s="59"/>
      <c r="CV39" s="59"/>
      <c r="CW39" s="59"/>
      <c r="CX39" s="59"/>
      <c r="CY39" s="59"/>
      <c r="CZ39" s="59"/>
      <c r="DA39" s="59"/>
      <c r="DB39" s="59"/>
      <c r="DC39" s="59"/>
      <c r="DD39" s="58" t="s">
        <v>18</v>
      </c>
    </row>
    <row r="40" spans="13:108" ht="15">
      <c r="M40" s="115" t="s">
        <v>213</v>
      </c>
      <c r="N40" s="13">
        <f>(N18/N19)*100</f>
        <v>0</v>
      </c>
      <c r="O40" s="13">
        <f aca="true" t="shared" si="102" ref="O40:W40">(O18/O19)*100</f>
        <v>0</v>
      </c>
      <c r="P40" s="13">
        <f t="shared" si="102"/>
        <v>0</v>
      </c>
      <c r="Q40" s="13">
        <f t="shared" si="102"/>
        <v>0</v>
      </c>
      <c r="R40" s="13">
        <f t="shared" si="102"/>
        <v>0</v>
      </c>
      <c r="S40" s="13">
        <f t="shared" si="102"/>
        <v>0</v>
      </c>
      <c r="T40" s="13">
        <f t="shared" si="102"/>
        <v>0</v>
      </c>
      <c r="U40" s="13">
        <f t="shared" si="102"/>
        <v>0</v>
      </c>
      <c r="V40" s="13">
        <f t="shared" si="102"/>
        <v>0</v>
      </c>
      <c r="W40" s="13">
        <f t="shared" si="102"/>
        <v>0</v>
      </c>
      <c r="AK40" s="3" t="s">
        <v>117</v>
      </c>
      <c r="AL40" s="42">
        <v>6422</v>
      </c>
      <c r="AM40" s="42">
        <v>31</v>
      </c>
      <c r="AN40" s="42">
        <v>54</v>
      </c>
      <c r="AO40" s="42">
        <v>124</v>
      </c>
      <c r="AP40" s="42">
        <v>107</v>
      </c>
      <c r="AQ40" s="42">
        <v>2</v>
      </c>
      <c r="AR40" s="42">
        <v>74</v>
      </c>
      <c r="AS40" s="42">
        <v>2039</v>
      </c>
      <c r="AT40" s="42">
        <v>917</v>
      </c>
      <c r="AU40" s="6">
        <f t="shared" si="23"/>
        <v>9770</v>
      </c>
      <c r="BI40" s="67" t="s">
        <v>232</v>
      </c>
      <c r="BJ40" s="76">
        <f>(BJ16/BJ22)*100</f>
        <v>26.757311441765008</v>
      </c>
      <c r="BK40" s="76">
        <f aca="true" t="shared" si="103" ref="BK40:BS40">(BK16/BK22)*100</f>
        <v>29.68881412952061</v>
      </c>
      <c r="BL40" s="76">
        <f t="shared" si="103"/>
        <v>32.70440251572327</v>
      </c>
      <c r="BM40" s="76">
        <f t="shared" si="103"/>
        <v>34.958217270194986</v>
      </c>
      <c r="BN40" s="76">
        <f t="shared" si="103"/>
        <v>45.31529383716772</v>
      </c>
      <c r="BO40" s="76">
        <f t="shared" si="103"/>
        <v>29.680998613037445</v>
      </c>
      <c r="BP40" s="76">
        <f t="shared" si="103"/>
        <v>27.70885028949545</v>
      </c>
      <c r="BQ40" s="76">
        <f t="shared" si="103"/>
        <v>17.070499847522942</v>
      </c>
      <c r="BR40" s="76">
        <f t="shared" si="103"/>
        <v>27.465080186239003</v>
      </c>
      <c r="BS40" s="76">
        <f t="shared" si="103"/>
        <v>25.512424361984305</v>
      </c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8" t="s">
        <v>31</v>
      </c>
    </row>
    <row r="41" spans="13:71" ht="15">
      <c r="M41" s="119" t="s">
        <v>48</v>
      </c>
      <c r="N41" s="120">
        <f>SUM(N26+N29+N30+N31+N32+N33+N34+N35+N38)</f>
        <v>99.99999999999999</v>
      </c>
      <c r="O41" s="120">
        <f aca="true" t="shared" si="104" ref="O41:W41">SUM(O26+O29+O30+O31+O32+O33+O34+O35+O38)</f>
        <v>99.99999999999999</v>
      </c>
      <c r="P41" s="120">
        <f t="shared" si="104"/>
        <v>100</v>
      </c>
      <c r="Q41" s="120">
        <f t="shared" si="104"/>
        <v>99.99999999999999</v>
      </c>
      <c r="R41" s="120">
        <f t="shared" si="104"/>
        <v>100</v>
      </c>
      <c r="S41" s="120">
        <f t="shared" si="104"/>
        <v>100</v>
      </c>
      <c r="T41" s="120">
        <f t="shared" si="104"/>
        <v>100</v>
      </c>
      <c r="U41" s="120">
        <f t="shared" si="104"/>
        <v>99.99999999999999</v>
      </c>
      <c r="V41" s="120">
        <f t="shared" si="104"/>
        <v>100</v>
      </c>
      <c r="W41" s="120">
        <f t="shared" si="104"/>
        <v>100</v>
      </c>
      <c r="AK41" s="3" t="s">
        <v>118</v>
      </c>
      <c r="AL41" s="42">
        <v>3757</v>
      </c>
      <c r="AM41" s="42">
        <v>25</v>
      </c>
      <c r="AN41" s="42">
        <v>94</v>
      </c>
      <c r="AO41" s="42">
        <v>20</v>
      </c>
      <c r="AP41" s="42">
        <v>52</v>
      </c>
      <c r="AQ41" s="42">
        <v>0</v>
      </c>
      <c r="AR41" s="42">
        <v>47</v>
      </c>
      <c r="AS41" s="42">
        <v>844</v>
      </c>
      <c r="AT41" s="42">
        <v>322</v>
      </c>
      <c r="AU41" s="6">
        <f t="shared" si="23"/>
        <v>5161</v>
      </c>
      <c r="BI41" s="3" t="s">
        <v>233</v>
      </c>
      <c r="BJ41" s="62">
        <f>(BJ17/BJ22)*100</f>
        <v>13.001539250897896</v>
      </c>
      <c r="BK41" s="62">
        <f aca="true" t="shared" si="105" ref="BK41:BS41">(BK17/BK22)*100</f>
        <v>9.167367535744322</v>
      </c>
      <c r="BL41" s="62">
        <f t="shared" si="105"/>
        <v>13.369272237196766</v>
      </c>
      <c r="BM41" s="62">
        <f t="shared" si="105"/>
        <v>20.891364902506965</v>
      </c>
      <c r="BN41" s="62">
        <f t="shared" si="105"/>
        <v>7.778042674931458</v>
      </c>
      <c r="BO41" s="62">
        <f t="shared" si="105"/>
        <v>11.095700416088766</v>
      </c>
      <c r="BP41" s="62">
        <f t="shared" si="105"/>
        <v>9.346567411083539</v>
      </c>
      <c r="BQ41" s="62">
        <f t="shared" si="105"/>
        <v>4.30262537772726</v>
      </c>
      <c r="BR41" s="62">
        <f t="shared" si="105"/>
        <v>11.57268494568029</v>
      </c>
      <c r="BS41" s="62">
        <f t="shared" si="105"/>
        <v>10.09379309267195</v>
      </c>
    </row>
    <row r="42" spans="13:71" ht="15">
      <c r="M42" s="117" t="s">
        <v>215</v>
      </c>
      <c r="N42" s="122"/>
      <c r="O42" s="122"/>
      <c r="P42" s="123"/>
      <c r="Q42" s="123"/>
      <c r="R42" s="123"/>
      <c r="S42" s="123"/>
      <c r="T42" s="123"/>
      <c r="U42" s="123"/>
      <c r="V42" s="123"/>
      <c r="W42" s="58" t="s">
        <v>18</v>
      </c>
      <c r="AK42" s="67" t="s">
        <v>119</v>
      </c>
      <c r="AL42" s="128">
        <v>4363</v>
      </c>
      <c r="AM42" s="128">
        <v>42</v>
      </c>
      <c r="AN42" s="128">
        <v>34</v>
      </c>
      <c r="AO42" s="128">
        <v>17</v>
      </c>
      <c r="AP42" s="128">
        <v>10</v>
      </c>
      <c r="AQ42" s="128">
        <v>6</v>
      </c>
      <c r="AR42" s="128">
        <v>33</v>
      </c>
      <c r="AS42" s="128">
        <v>4263</v>
      </c>
      <c r="AT42" s="128">
        <v>546</v>
      </c>
      <c r="AU42" s="72">
        <f t="shared" si="23"/>
        <v>9314</v>
      </c>
      <c r="BI42" s="3" t="s">
        <v>234</v>
      </c>
      <c r="BJ42" s="62">
        <f>(BJ18/BJ22)*100</f>
        <v>4.446236165066334</v>
      </c>
      <c r="BK42" s="62">
        <f aca="true" t="shared" si="106" ref="BK42:BS42">(BK18/BK22)*100</f>
        <v>9.04121110176619</v>
      </c>
      <c r="BL42" s="62">
        <f t="shared" si="106"/>
        <v>7.852650494159928</v>
      </c>
      <c r="BM42" s="62">
        <f t="shared" si="106"/>
        <v>4.456824512534819</v>
      </c>
      <c r="BN42" s="62">
        <f t="shared" si="106"/>
        <v>13.970675885087614</v>
      </c>
      <c r="BO42" s="62">
        <f t="shared" si="106"/>
        <v>8.183079056865465</v>
      </c>
      <c r="BP42" s="62">
        <f t="shared" si="106"/>
        <v>6.2861869313482215</v>
      </c>
      <c r="BQ42" s="62">
        <f t="shared" si="106"/>
        <v>5.9077929638767985</v>
      </c>
      <c r="BR42" s="62">
        <f t="shared" si="106"/>
        <v>5.794102431453699</v>
      </c>
      <c r="BS42" s="62">
        <f t="shared" si="106"/>
        <v>5.720167663454289</v>
      </c>
    </row>
    <row r="43" spans="13:108" ht="15"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58" t="s">
        <v>31</v>
      </c>
      <c r="AK43" s="127" t="s">
        <v>48</v>
      </c>
      <c r="AL43" s="49">
        <f>AL16+AL17+AL18+AL19+AL20+AL21+AL22+AL25+AL26+AL27+AL29+AL30+AL31+AL32+AL34+AL35+AL36+AL37+AL38+AL40+AL41+AL42</f>
        <v>162590</v>
      </c>
      <c r="AM43" s="49">
        <f aca="true" t="shared" si="107" ref="AM43:AT43">AM16+AM17+AM18+AM19+AM20+AM21+AM22+AM25+AM26+AM27+AM29+AM30+AM31+AM32+AM34+AM35+AM36+AM37+AM38+AM40+AM41+AM42</f>
        <v>2574</v>
      </c>
      <c r="AN43" s="49">
        <f t="shared" si="107"/>
        <v>6496</v>
      </c>
      <c r="AO43" s="49">
        <f t="shared" si="107"/>
        <v>1617</v>
      </c>
      <c r="AP43" s="49">
        <f t="shared" si="107"/>
        <v>24746</v>
      </c>
      <c r="AQ43" s="49">
        <f t="shared" si="107"/>
        <v>832</v>
      </c>
      <c r="AR43" s="49">
        <f t="shared" si="107"/>
        <v>1283</v>
      </c>
      <c r="AS43" s="49">
        <f t="shared" si="107"/>
        <v>82740</v>
      </c>
      <c r="AT43" s="49">
        <f t="shared" si="107"/>
        <v>24117</v>
      </c>
      <c r="AU43" s="6">
        <f t="shared" si="23"/>
        <v>306995</v>
      </c>
      <c r="BI43" s="3" t="s">
        <v>235</v>
      </c>
      <c r="BJ43" s="129">
        <f>(BJ19/BJ22)*100</f>
        <v>3.962471597156051</v>
      </c>
      <c r="BK43" s="129">
        <f aca="true" t="shared" si="108" ref="BK43:BS43">(BK19/BK22)*100</f>
        <v>4.625735912531539</v>
      </c>
      <c r="BL43" s="129">
        <f t="shared" si="108"/>
        <v>5.121293800539084</v>
      </c>
      <c r="BM43" s="129">
        <f t="shared" si="108"/>
        <v>3.203342618384401</v>
      </c>
      <c r="BN43" s="129">
        <f t="shared" si="108"/>
        <v>11.968053403266182</v>
      </c>
      <c r="BO43" s="129">
        <f t="shared" si="108"/>
        <v>3.744798890429958</v>
      </c>
      <c r="BP43" s="129">
        <f t="shared" si="108"/>
        <v>2.8122415219189416</v>
      </c>
      <c r="BQ43" s="129">
        <f t="shared" si="108"/>
        <v>2.71409165257409</v>
      </c>
      <c r="BR43" s="129">
        <f t="shared" si="108"/>
        <v>3.1039834454216244</v>
      </c>
      <c r="BS43" s="129">
        <f t="shared" si="108"/>
        <v>4.0915820601666475</v>
      </c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</row>
    <row r="44" spans="37:108" ht="15">
      <c r="AK44" s="117" t="s">
        <v>218</v>
      </c>
      <c r="AL44" s="97"/>
      <c r="AM44" s="97"/>
      <c r="AN44" s="97"/>
      <c r="AO44" s="97"/>
      <c r="AP44" s="97"/>
      <c r="AQ44" s="97"/>
      <c r="AR44" s="97"/>
      <c r="AS44" s="97"/>
      <c r="AT44" s="97"/>
      <c r="AU44" s="58" t="s">
        <v>18</v>
      </c>
      <c r="BI44" s="3" t="s">
        <v>236</v>
      </c>
      <c r="BJ44" s="129">
        <f>(BJ20/BJ22)*100</f>
        <v>2.928241589093308</v>
      </c>
      <c r="BK44" s="129">
        <f aca="true" t="shared" si="109" ref="BK44:BS44">(BK20/BK22)*100</f>
        <v>2.817493692178301</v>
      </c>
      <c r="BL44" s="129">
        <f t="shared" si="109"/>
        <v>2.8391734052111413</v>
      </c>
      <c r="BM44" s="129">
        <f t="shared" si="109"/>
        <v>2.5069637883008355</v>
      </c>
      <c r="BN44" s="129">
        <f t="shared" si="109"/>
        <v>4.7025867207056855</v>
      </c>
      <c r="BO44" s="129">
        <f t="shared" si="109"/>
        <v>2.7739251040221915</v>
      </c>
      <c r="BP44" s="129">
        <f t="shared" si="109"/>
        <v>5.87262200165426</v>
      </c>
      <c r="BQ44" s="129">
        <f t="shared" si="109"/>
        <v>2.167946549859998</v>
      </c>
      <c r="BR44" s="129">
        <f t="shared" si="109"/>
        <v>3.6678737713398863</v>
      </c>
      <c r="BS44" s="129">
        <f t="shared" si="109"/>
        <v>2.894264987948701</v>
      </c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</row>
    <row r="45" spans="37:108" ht="15"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58" t="s">
        <v>31</v>
      </c>
      <c r="BI45" s="3" t="s">
        <v>237</v>
      </c>
      <c r="BJ45" s="129">
        <f>(BJ21/BJ22)*100</f>
        <v>2.418822839551418</v>
      </c>
      <c r="BK45" s="129">
        <f aca="true" t="shared" si="110" ref="BK45:BS45">(BK21/BK22)*100</f>
        <v>4.037005887300253</v>
      </c>
      <c r="BL45" s="129">
        <f t="shared" si="110"/>
        <v>3.5220125786163523</v>
      </c>
      <c r="BM45" s="129">
        <f t="shared" si="110"/>
        <v>3.8997214484679668</v>
      </c>
      <c r="BN45" s="129">
        <f t="shared" si="110"/>
        <v>6.8959351531767785</v>
      </c>
      <c r="BO45" s="129">
        <f t="shared" si="110"/>
        <v>3.8834951456310676</v>
      </c>
      <c r="BP45" s="129">
        <f t="shared" si="110"/>
        <v>3.391232423490488</v>
      </c>
      <c r="BQ45" s="129">
        <f t="shared" si="110"/>
        <v>1.9780433034847937</v>
      </c>
      <c r="BR45" s="129">
        <f t="shared" si="110"/>
        <v>3.3264355923435076</v>
      </c>
      <c r="BS45" s="129">
        <f t="shared" si="110"/>
        <v>2.7126165577427157</v>
      </c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</row>
    <row r="46" spans="61:108" ht="15">
      <c r="BI46" s="127" t="s">
        <v>48</v>
      </c>
      <c r="BJ46" s="131">
        <f>BJ31+BJ32+BJ34+BJ35+BJ36+BJ38+BJ39+BJ41+BJ42+BJ43+BJ44+BJ45</f>
        <v>100.00000000000001</v>
      </c>
      <c r="BK46" s="131">
        <f aca="true" t="shared" si="111" ref="BK46:BS46">BK31+BK32+BK34+BK35+BK36+BK38+BK39+BK41+BK42+BK43+BK44+BK45</f>
        <v>100.00000000000003</v>
      </c>
      <c r="BL46" s="131">
        <f t="shared" si="111"/>
        <v>100</v>
      </c>
      <c r="BM46" s="131">
        <f t="shared" si="111"/>
        <v>100.00000000000001</v>
      </c>
      <c r="BN46" s="131">
        <f t="shared" si="111"/>
        <v>100</v>
      </c>
      <c r="BO46" s="131">
        <f t="shared" si="111"/>
        <v>100.00000000000001</v>
      </c>
      <c r="BP46" s="131">
        <f t="shared" si="111"/>
        <v>100.00000000000001</v>
      </c>
      <c r="BQ46" s="131">
        <f t="shared" si="111"/>
        <v>99.99999999999999</v>
      </c>
      <c r="BR46" s="131">
        <f t="shared" si="111"/>
        <v>100</v>
      </c>
      <c r="BS46" s="131">
        <f t="shared" si="111"/>
        <v>100</v>
      </c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</row>
    <row r="47" spans="61:71" ht="15">
      <c r="BI47" s="117" t="s">
        <v>240</v>
      </c>
      <c r="BJ47" s="97"/>
      <c r="BK47" s="97"/>
      <c r="BL47" s="97"/>
      <c r="BM47" s="97"/>
      <c r="BN47" s="97"/>
      <c r="BO47" s="97"/>
      <c r="BP47" s="97"/>
      <c r="BQ47" s="97"/>
      <c r="BR47" s="97"/>
      <c r="BS47" s="58" t="s">
        <v>18</v>
      </c>
    </row>
    <row r="48" spans="61:71" ht="15"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58" t="s">
        <v>31</v>
      </c>
    </row>
    <row r="49" ht="12.75">
      <c r="BJ49" s="96"/>
    </row>
  </sheetData>
  <sheetProtection/>
  <mergeCells count="17">
    <mergeCell ref="DG2:DO2"/>
    <mergeCell ref="AX6:BF6"/>
    <mergeCell ref="BJ2:BR2"/>
    <mergeCell ref="BJ26:BR26"/>
    <mergeCell ref="CT2:CT3"/>
    <mergeCell ref="A2:A3"/>
    <mergeCell ref="B2:J2"/>
    <mergeCell ref="AL12:AT12"/>
    <mergeCell ref="CU2:DC2"/>
    <mergeCell ref="CU22:DC22"/>
    <mergeCell ref="DF2:DF3"/>
    <mergeCell ref="Z2:AH2"/>
    <mergeCell ref="N2:V2"/>
    <mergeCell ref="N24:V24"/>
    <mergeCell ref="Y2:Y3"/>
    <mergeCell ref="B17:J17"/>
    <mergeCell ref="M2:M3"/>
  </mergeCells>
  <printOptions/>
  <pageMargins left="0.25" right="0.25" top="0.25" bottom="0.53" header="0.25" footer="0.25"/>
  <pageSetup horizontalDpi="300" verticalDpi="300" orientation="landscape" paperSize="9" scale="64" r:id="rId2"/>
  <headerFooter alignWithMargins="0">
    <oddFooter>&amp;L2011 Census Detailed Characteristics - Cultural Characteristics - &amp;A 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8515625" style="59" customWidth="1"/>
    <col min="2" max="2" width="10.8515625" style="59" customWidth="1"/>
    <col min="3" max="3" width="11.00390625" style="59" customWidth="1"/>
    <col min="4" max="4" width="11.421875" style="59" customWidth="1"/>
    <col min="5" max="5" width="11.28125" style="59" customWidth="1"/>
    <col min="6" max="6" width="11.7109375" style="59" customWidth="1"/>
    <col min="7" max="7" width="11.28125" style="59" customWidth="1"/>
    <col min="8" max="8" width="12.00390625" style="59" customWidth="1"/>
    <col min="9" max="9" width="10.57421875" style="59" customWidth="1"/>
    <col min="10" max="10" width="12.57421875" style="59" customWidth="1"/>
    <col min="11" max="11" width="11.7109375" style="59" customWidth="1"/>
    <col min="12" max="16384" width="9.140625" style="59" customWidth="1"/>
  </cols>
  <sheetData>
    <row r="1" ht="15">
      <c r="A1" s="56" t="s">
        <v>187</v>
      </c>
    </row>
    <row r="2" spans="1:16" ht="15">
      <c r="A2" s="17" t="s">
        <v>80</v>
      </c>
      <c r="B2" s="268" t="s">
        <v>28</v>
      </c>
      <c r="C2" s="269"/>
      <c r="D2" s="269"/>
      <c r="E2" s="269"/>
      <c r="F2" s="269"/>
      <c r="G2" s="269"/>
      <c r="H2" s="269"/>
      <c r="I2" s="269"/>
      <c r="J2" s="270"/>
      <c r="K2" s="60"/>
      <c r="P2" s="100"/>
    </row>
    <row r="3" spans="1:16" ht="15">
      <c r="A3" s="66"/>
      <c r="B3" s="2" t="s">
        <v>178</v>
      </c>
      <c r="C3" s="2" t="s">
        <v>179</v>
      </c>
      <c r="D3" s="2" t="s">
        <v>180</v>
      </c>
      <c r="E3" s="2" t="s">
        <v>181</v>
      </c>
      <c r="F3" s="2" t="s">
        <v>182</v>
      </c>
      <c r="G3" s="2" t="s">
        <v>183</v>
      </c>
      <c r="H3" s="2" t="s">
        <v>184</v>
      </c>
      <c r="I3" s="2" t="s">
        <v>185</v>
      </c>
      <c r="J3" s="52" t="s">
        <v>186</v>
      </c>
      <c r="K3" s="103" t="s">
        <v>20</v>
      </c>
      <c r="P3" s="37"/>
    </row>
    <row r="4" spans="1:16" ht="15">
      <c r="A4" s="104" t="s">
        <v>167</v>
      </c>
      <c r="B4" s="105">
        <v>11093</v>
      </c>
      <c r="C4" s="105">
        <v>4722</v>
      </c>
      <c r="D4" s="105">
        <v>3276</v>
      </c>
      <c r="E4" s="105">
        <v>15574</v>
      </c>
      <c r="F4" s="105">
        <v>16932</v>
      </c>
      <c r="G4" s="105">
        <v>12486</v>
      </c>
      <c r="H4" s="105">
        <v>8488</v>
      </c>
      <c r="I4" s="105">
        <v>5828</v>
      </c>
      <c r="J4" s="106">
        <v>5849</v>
      </c>
      <c r="K4" s="49">
        <f>J4+I4+H4+G4+F4+E4+D4+C4+B4</f>
        <v>84248</v>
      </c>
      <c r="P4" s="37"/>
    </row>
    <row r="5" spans="1:16" ht="15">
      <c r="A5" s="104" t="s">
        <v>168</v>
      </c>
      <c r="B5" s="105">
        <v>15286</v>
      </c>
      <c r="C5" s="105">
        <v>6228</v>
      </c>
      <c r="D5" s="105">
        <v>4334</v>
      </c>
      <c r="E5" s="105">
        <v>25519</v>
      </c>
      <c r="F5" s="105">
        <v>21408</v>
      </c>
      <c r="G5" s="105">
        <v>14246</v>
      </c>
      <c r="H5" s="105">
        <v>9928</v>
      </c>
      <c r="I5" s="105">
        <v>7892</v>
      </c>
      <c r="J5" s="106">
        <v>8992</v>
      </c>
      <c r="K5" s="49">
        <f aca="true" t="shared" si="0" ref="K5:K18">J5+I5+H5+G5+F5+E5+D5+C5+B5</f>
        <v>113833</v>
      </c>
      <c r="P5" s="37"/>
    </row>
    <row r="6" spans="1:16" ht="15">
      <c r="A6" s="104" t="s">
        <v>169</v>
      </c>
      <c r="B6" s="105">
        <v>2586</v>
      </c>
      <c r="C6" s="105">
        <v>952</v>
      </c>
      <c r="D6" s="105">
        <v>727</v>
      </c>
      <c r="E6" s="105">
        <v>5216</v>
      </c>
      <c r="F6" s="105">
        <v>4909</v>
      </c>
      <c r="G6" s="105">
        <v>2655</v>
      </c>
      <c r="H6" s="105">
        <v>1641</v>
      </c>
      <c r="I6" s="105">
        <v>1007</v>
      </c>
      <c r="J6" s="106">
        <v>847</v>
      </c>
      <c r="K6" s="49">
        <f t="shared" si="0"/>
        <v>20540</v>
      </c>
      <c r="P6" s="37"/>
    </row>
    <row r="7" spans="1:16" ht="15">
      <c r="A7" s="104" t="s">
        <v>170</v>
      </c>
      <c r="B7" s="105">
        <v>39</v>
      </c>
      <c r="C7" s="105">
        <v>12</v>
      </c>
      <c r="D7" s="105">
        <v>17</v>
      </c>
      <c r="E7" s="105">
        <v>623</v>
      </c>
      <c r="F7" s="105">
        <v>568</v>
      </c>
      <c r="G7" s="105">
        <v>317</v>
      </c>
      <c r="H7" s="105">
        <v>167</v>
      </c>
      <c r="I7" s="105">
        <v>140</v>
      </c>
      <c r="J7" s="106">
        <v>157</v>
      </c>
      <c r="K7" s="49">
        <f t="shared" si="0"/>
        <v>2040</v>
      </c>
      <c r="P7" s="37"/>
    </row>
    <row r="8" spans="1:16" ht="15">
      <c r="A8" s="104" t="s">
        <v>171</v>
      </c>
      <c r="B8" s="105">
        <v>6</v>
      </c>
      <c r="C8" s="105">
        <v>3</v>
      </c>
      <c r="D8" s="105">
        <v>5</v>
      </c>
      <c r="E8" s="105">
        <v>161</v>
      </c>
      <c r="F8" s="105">
        <v>199</v>
      </c>
      <c r="G8" s="105">
        <v>66</v>
      </c>
      <c r="H8" s="105">
        <v>46</v>
      </c>
      <c r="I8" s="105">
        <v>24</v>
      </c>
      <c r="J8" s="106">
        <v>21</v>
      </c>
      <c r="K8" s="49">
        <f t="shared" si="0"/>
        <v>531</v>
      </c>
      <c r="P8" s="37"/>
    </row>
    <row r="9" spans="1:16" ht="15">
      <c r="A9" s="104" t="s">
        <v>172</v>
      </c>
      <c r="B9" s="105">
        <v>62</v>
      </c>
      <c r="C9" s="105">
        <v>17</v>
      </c>
      <c r="D9" s="105">
        <v>22</v>
      </c>
      <c r="E9" s="105">
        <v>721</v>
      </c>
      <c r="F9" s="105">
        <v>928</v>
      </c>
      <c r="G9" s="105">
        <v>533</v>
      </c>
      <c r="H9" s="105">
        <v>412</v>
      </c>
      <c r="I9" s="105">
        <v>329</v>
      </c>
      <c r="J9" s="106">
        <v>224</v>
      </c>
      <c r="K9" s="49">
        <f t="shared" si="0"/>
        <v>3248</v>
      </c>
      <c r="P9" s="37"/>
    </row>
    <row r="10" spans="1:16" ht="15">
      <c r="A10" s="104" t="s">
        <v>173</v>
      </c>
      <c r="B10" s="105">
        <v>20</v>
      </c>
      <c r="C10" s="105">
        <v>3</v>
      </c>
      <c r="D10" s="105">
        <v>4</v>
      </c>
      <c r="E10" s="105">
        <v>206</v>
      </c>
      <c r="F10" s="105">
        <v>272</v>
      </c>
      <c r="G10" s="105">
        <v>143</v>
      </c>
      <c r="H10" s="105">
        <v>69</v>
      </c>
      <c r="I10" s="105">
        <v>59</v>
      </c>
      <c r="J10" s="106">
        <v>41</v>
      </c>
      <c r="K10" s="49">
        <f t="shared" si="0"/>
        <v>817</v>
      </c>
      <c r="P10" s="37"/>
    </row>
    <row r="11" spans="1:16" ht="15">
      <c r="A11" s="104" t="s">
        <v>174</v>
      </c>
      <c r="B11" s="105">
        <v>8</v>
      </c>
      <c r="C11" s="105">
        <v>4</v>
      </c>
      <c r="D11" s="105">
        <v>10</v>
      </c>
      <c r="E11" s="105">
        <v>279</v>
      </c>
      <c r="F11" s="105">
        <v>338</v>
      </c>
      <c r="G11" s="105">
        <v>160</v>
      </c>
      <c r="H11" s="105">
        <v>114</v>
      </c>
      <c r="I11" s="105">
        <v>99</v>
      </c>
      <c r="J11" s="106">
        <v>101</v>
      </c>
      <c r="K11" s="49">
        <f t="shared" si="0"/>
        <v>1113</v>
      </c>
      <c r="P11" s="37"/>
    </row>
    <row r="12" spans="1:16" ht="15">
      <c r="A12" s="104" t="s">
        <v>175</v>
      </c>
      <c r="B12" s="105">
        <v>0</v>
      </c>
      <c r="C12" s="105">
        <v>0</v>
      </c>
      <c r="D12" s="105">
        <v>0</v>
      </c>
      <c r="E12" s="105">
        <v>47</v>
      </c>
      <c r="F12" s="105">
        <v>66</v>
      </c>
      <c r="G12" s="105">
        <v>26</v>
      </c>
      <c r="H12" s="105">
        <v>17</v>
      </c>
      <c r="I12" s="105">
        <v>15</v>
      </c>
      <c r="J12" s="106">
        <v>10</v>
      </c>
      <c r="K12" s="49">
        <f t="shared" si="0"/>
        <v>181</v>
      </c>
      <c r="P12" s="37"/>
    </row>
    <row r="13" spans="1:16" ht="15" customHeight="1">
      <c r="A13" s="104" t="s">
        <v>92</v>
      </c>
      <c r="B13" s="105">
        <v>176</v>
      </c>
      <c r="C13" s="105">
        <v>53</v>
      </c>
      <c r="D13" s="105">
        <v>32</v>
      </c>
      <c r="E13" s="105">
        <v>350</v>
      </c>
      <c r="F13" s="105">
        <v>269</v>
      </c>
      <c r="G13" s="105">
        <v>137</v>
      </c>
      <c r="H13" s="105">
        <v>119</v>
      </c>
      <c r="I13" s="105">
        <v>73</v>
      </c>
      <c r="J13" s="106">
        <v>66</v>
      </c>
      <c r="K13" s="49">
        <f t="shared" si="0"/>
        <v>1275</v>
      </c>
      <c r="P13" s="37"/>
    </row>
    <row r="14" spans="1:16" ht="15">
      <c r="A14" s="104" t="s">
        <v>176</v>
      </c>
      <c r="B14" s="105">
        <v>218</v>
      </c>
      <c r="C14" s="105">
        <v>57</v>
      </c>
      <c r="D14" s="105">
        <v>48</v>
      </c>
      <c r="E14" s="105">
        <v>1365</v>
      </c>
      <c r="F14" s="105">
        <v>1413</v>
      </c>
      <c r="G14" s="105">
        <v>727</v>
      </c>
      <c r="H14" s="105">
        <v>508</v>
      </c>
      <c r="I14" s="105">
        <v>637</v>
      </c>
      <c r="J14" s="106">
        <v>845</v>
      </c>
      <c r="K14" s="49">
        <f t="shared" si="0"/>
        <v>5818</v>
      </c>
      <c r="P14" s="37"/>
    </row>
    <row r="15" spans="1:16" ht="15">
      <c r="A15" s="104" t="s">
        <v>94</v>
      </c>
      <c r="B15" s="105">
        <v>83</v>
      </c>
      <c r="C15" s="105">
        <v>31</v>
      </c>
      <c r="D15" s="105">
        <v>17</v>
      </c>
      <c r="E15" s="105">
        <v>132</v>
      </c>
      <c r="F15" s="105">
        <v>91</v>
      </c>
      <c r="G15" s="105">
        <v>69</v>
      </c>
      <c r="H15" s="105">
        <v>37</v>
      </c>
      <c r="I15" s="105">
        <v>34</v>
      </c>
      <c r="J15" s="106">
        <v>33</v>
      </c>
      <c r="K15" s="49">
        <f t="shared" si="0"/>
        <v>527</v>
      </c>
      <c r="P15" s="37"/>
    </row>
    <row r="16" spans="1:16" ht="15">
      <c r="A16" s="104" t="s">
        <v>177</v>
      </c>
      <c r="B16" s="105">
        <v>5097</v>
      </c>
      <c r="C16" s="105">
        <v>2239</v>
      </c>
      <c r="D16" s="105">
        <v>1468</v>
      </c>
      <c r="E16" s="105">
        <v>19424</v>
      </c>
      <c r="F16" s="105">
        <v>21839</v>
      </c>
      <c r="G16" s="105">
        <v>8170</v>
      </c>
      <c r="H16" s="105">
        <v>3404</v>
      </c>
      <c r="I16" s="105">
        <v>1931</v>
      </c>
      <c r="J16" s="106">
        <v>1759</v>
      </c>
      <c r="K16" s="49">
        <f t="shared" si="0"/>
        <v>65331</v>
      </c>
      <c r="P16" s="37"/>
    </row>
    <row r="17" spans="1:11" ht="15">
      <c r="A17" s="104" t="s">
        <v>95</v>
      </c>
      <c r="B17" s="105">
        <v>1570</v>
      </c>
      <c r="C17" s="105">
        <v>441</v>
      </c>
      <c r="D17" s="105">
        <v>202</v>
      </c>
      <c r="E17" s="105">
        <v>1299</v>
      </c>
      <c r="F17" s="105">
        <v>2029</v>
      </c>
      <c r="G17" s="105">
        <v>907</v>
      </c>
      <c r="H17" s="105">
        <v>489</v>
      </c>
      <c r="I17" s="105">
        <v>300</v>
      </c>
      <c r="J17" s="106">
        <v>256</v>
      </c>
      <c r="K17" s="49">
        <f t="shared" si="0"/>
        <v>7493</v>
      </c>
    </row>
    <row r="18" spans="1:11" ht="15">
      <c r="A18" s="107" t="s">
        <v>20</v>
      </c>
      <c r="B18" s="49">
        <f>B4+B5+B6+B7+B8+B9+B10+B11+B12+B13+B14+B15+B16+B17</f>
        <v>36244</v>
      </c>
      <c r="C18" s="49">
        <f aca="true" t="shared" si="1" ref="C18:J18">C4+C5+C6+C7+C8+C9+C10+C11+C12+C13+C14+C15+C16+C17</f>
        <v>14762</v>
      </c>
      <c r="D18" s="49">
        <f t="shared" si="1"/>
        <v>10162</v>
      </c>
      <c r="E18" s="49">
        <f t="shared" si="1"/>
        <v>70916</v>
      </c>
      <c r="F18" s="49">
        <f t="shared" si="1"/>
        <v>71261</v>
      </c>
      <c r="G18" s="49">
        <f t="shared" si="1"/>
        <v>40642</v>
      </c>
      <c r="H18" s="49">
        <f t="shared" si="1"/>
        <v>25439</v>
      </c>
      <c r="I18" s="49">
        <f t="shared" si="1"/>
        <v>18368</v>
      </c>
      <c r="J18" s="49">
        <f t="shared" si="1"/>
        <v>19201</v>
      </c>
      <c r="K18" s="49">
        <f t="shared" si="0"/>
        <v>306995</v>
      </c>
    </row>
    <row r="19" spans="1:11" ht="15">
      <c r="A19" s="101" t="s">
        <v>188</v>
      </c>
      <c r="C19" s="101"/>
      <c r="K19" s="58" t="s">
        <v>18</v>
      </c>
    </row>
    <row r="20" spans="3:11" ht="15">
      <c r="C20" s="102"/>
      <c r="K20" s="58" t="s">
        <v>31</v>
      </c>
    </row>
    <row r="21" ht="15">
      <c r="A21" s="56" t="s">
        <v>189</v>
      </c>
    </row>
    <row r="22" spans="1:11" ht="15">
      <c r="A22" s="17" t="s">
        <v>80</v>
      </c>
      <c r="B22" s="268" t="s">
        <v>28</v>
      </c>
      <c r="C22" s="269"/>
      <c r="D22" s="269"/>
      <c r="E22" s="269"/>
      <c r="F22" s="269"/>
      <c r="G22" s="269"/>
      <c r="H22" s="269"/>
      <c r="I22" s="269"/>
      <c r="J22" s="270"/>
      <c r="K22" s="60"/>
    </row>
    <row r="23" spans="1:11" ht="15">
      <c r="A23" s="66"/>
      <c r="B23" s="2" t="s">
        <v>178</v>
      </c>
      <c r="C23" s="2" t="s">
        <v>179</v>
      </c>
      <c r="D23" s="2" t="s">
        <v>180</v>
      </c>
      <c r="E23" s="2" t="s">
        <v>181</v>
      </c>
      <c r="F23" s="2" t="s">
        <v>182</v>
      </c>
      <c r="G23" s="2" t="s">
        <v>183</v>
      </c>
      <c r="H23" s="2" t="s">
        <v>184</v>
      </c>
      <c r="I23" s="2" t="s">
        <v>185</v>
      </c>
      <c r="J23" s="52" t="s">
        <v>186</v>
      </c>
      <c r="K23" s="103" t="s">
        <v>20</v>
      </c>
    </row>
    <row r="24" spans="1:11" ht="15">
      <c r="A24" s="104" t="s">
        <v>167</v>
      </c>
      <c r="B24" s="62">
        <f>(B4/B18)*100</f>
        <v>30.606445204723542</v>
      </c>
      <c r="C24" s="62">
        <f aca="true" t="shared" si="2" ref="C24:K24">(C4/C18)*100</f>
        <v>31.987535564286684</v>
      </c>
      <c r="D24" s="62">
        <f t="shared" si="2"/>
        <v>32.237748474709704</v>
      </c>
      <c r="E24" s="62">
        <f t="shared" si="2"/>
        <v>21.96119352473349</v>
      </c>
      <c r="F24" s="62">
        <f t="shared" si="2"/>
        <v>23.76054223207645</v>
      </c>
      <c r="G24" s="62">
        <f t="shared" si="2"/>
        <v>30.721913291668717</v>
      </c>
      <c r="H24" s="62">
        <f t="shared" si="2"/>
        <v>33.36609143441173</v>
      </c>
      <c r="I24" s="62">
        <f t="shared" si="2"/>
        <v>31.729094076655052</v>
      </c>
      <c r="J24" s="62">
        <f t="shared" si="2"/>
        <v>30.461955106504867</v>
      </c>
      <c r="K24" s="62">
        <f t="shared" si="2"/>
        <v>27.442792227886446</v>
      </c>
    </row>
    <row r="25" spans="1:11" ht="15">
      <c r="A25" s="104" t="s">
        <v>168</v>
      </c>
      <c r="B25" s="62">
        <f>(B5/B18)*100</f>
        <v>42.1752565941949</v>
      </c>
      <c r="C25" s="62">
        <f aca="true" t="shared" si="3" ref="C25:K25">(C5/C18)*100</f>
        <v>42.189405229643675</v>
      </c>
      <c r="D25" s="62">
        <f t="shared" si="3"/>
        <v>42.64908482582169</v>
      </c>
      <c r="E25" s="62">
        <f t="shared" si="3"/>
        <v>35.98482711940888</v>
      </c>
      <c r="F25" s="62">
        <f t="shared" si="3"/>
        <v>30.04167777606264</v>
      </c>
      <c r="G25" s="62">
        <f t="shared" si="3"/>
        <v>35.05240883814773</v>
      </c>
      <c r="H25" s="62">
        <f t="shared" si="3"/>
        <v>39.02669130075868</v>
      </c>
      <c r="I25" s="62">
        <f t="shared" si="3"/>
        <v>42.96602787456446</v>
      </c>
      <c r="J25" s="62">
        <f t="shared" si="3"/>
        <v>46.830894224259154</v>
      </c>
      <c r="K25" s="62">
        <f t="shared" si="3"/>
        <v>37.07975699929966</v>
      </c>
    </row>
    <row r="26" spans="1:11" ht="15">
      <c r="A26" s="104" t="s">
        <v>169</v>
      </c>
      <c r="B26" s="62">
        <f>(B6/B18)*100</f>
        <v>7.1349740646727735</v>
      </c>
      <c r="C26" s="62">
        <f aca="true" t="shared" si="4" ref="C26:K26">(C6/C18)*100</f>
        <v>6.448990651673216</v>
      </c>
      <c r="D26" s="62">
        <f t="shared" si="4"/>
        <v>7.154103522928558</v>
      </c>
      <c r="E26" s="62">
        <f t="shared" si="4"/>
        <v>7.3551807772576</v>
      </c>
      <c r="F26" s="62">
        <f t="shared" si="4"/>
        <v>6.888761033384319</v>
      </c>
      <c r="G26" s="62">
        <f t="shared" si="4"/>
        <v>6.532650952216919</v>
      </c>
      <c r="H26" s="62">
        <f t="shared" si="4"/>
        <v>6.450725264357876</v>
      </c>
      <c r="I26" s="62">
        <f t="shared" si="4"/>
        <v>5.4823606271777</v>
      </c>
      <c r="J26" s="62">
        <f t="shared" si="4"/>
        <v>4.4112285818446955</v>
      </c>
      <c r="K26" s="62">
        <f t="shared" si="4"/>
        <v>6.690662714376455</v>
      </c>
    </row>
    <row r="27" spans="1:11" ht="15">
      <c r="A27" s="104" t="s">
        <v>170</v>
      </c>
      <c r="B27" s="62">
        <f>(B7/B18)*100</f>
        <v>0.10760401721664276</v>
      </c>
      <c r="C27" s="62">
        <f aca="true" t="shared" si="5" ref="C27:K27">(C7/C18)*100</f>
        <v>0.08128979813033464</v>
      </c>
      <c r="D27" s="62">
        <f t="shared" si="5"/>
        <v>0.1672899035622909</v>
      </c>
      <c r="E27" s="62">
        <f t="shared" si="5"/>
        <v>0.8785041457499013</v>
      </c>
      <c r="F27" s="62">
        <f t="shared" si="5"/>
        <v>0.7970699260465052</v>
      </c>
      <c r="G27" s="62">
        <f t="shared" si="5"/>
        <v>0.7799813001328675</v>
      </c>
      <c r="H27" s="62">
        <f t="shared" si="5"/>
        <v>0.6564723456110696</v>
      </c>
      <c r="I27" s="62">
        <f t="shared" si="5"/>
        <v>0.7621951219512195</v>
      </c>
      <c r="J27" s="62">
        <f t="shared" si="5"/>
        <v>0.8176657465756992</v>
      </c>
      <c r="K27" s="62">
        <f t="shared" si="5"/>
        <v>0.6645059365787717</v>
      </c>
    </row>
    <row r="28" spans="1:11" ht="15">
      <c r="A28" s="104" t="s">
        <v>171</v>
      </c>
      <c r="B28" s="62">
        <f>(B8/B18)*100</f>
        <v>0.016554464187175807</v>
      </c>
      <c r="C28" s="62">
        <f aca="true" t="shared" si="6" ref="C28:K28">(C8/C18)*100</f>
        <v>0.02032244953258366</v>
      </c>
      <c r="D28" s="62">
        <f t="shared" si="6"/>
        <v>0.04920291281243849</v>
      </c>
      <c r="E28" s="62">
        <f t="shared" si="6"/>
        <v>0.22702916126121045</v>
      </c>
      <c r="F28" s="62">
        <f t="shared" si="6"/>
        <v>0.2792551325409411</v>
      </c>
      <c r="G28" s="62">
        <f t="shared" si="6"/>
        <v>0.16239358299296294</v>
      </c>
      <c r="H28" s="62">
        <f t="shared" si="6"/>
        <v>0.1808247179527497</v>
      </c>
      <c r="I28" s="62">
        <f t="shared" si="6"/>
        <v>0.13066202090592335</v>
      </c>
      <c r="J28" s="62">
        <f t="shared" si="6"/>
        <v>0.10936930368209989</v>
      </c>
      <c r="K28" s="62">
        <f t="shared" si="6"/>
        <v>0.1729669864330038</v>
      </c>
    </row>
    <row r="29" spans="1:11" ht="15">
      <c r="A29" s="104" t="s">
        <v>172</v>
      </c>
      <c r="B29" s="62">
        <f>(B9/B18)*100</f>
        <v>0.1710627966008167</v>
      </c>
      <c r="C29" s="62">
        <f aca="true" t="shared" si="7" ref="C29:K29">(C9/C18)*100</f>
        <v>0.1151605473513074</v>
      </c>
      <c r="D29" s="62">
        <f t="shared" si="7"/>
        <v>0.2164928163747294</v>
      </c>
      <c r="E29" s="62">
        <f t="shared" si="7"/>
        <v>1.01669580912629</v>
      </c>
      <c r="F29" s="62">
        <f t="shared" si="7"/>
        <v>1.3022550904421772</v>
      </c>
      <c r="G29" s="62">
        <f t="shared" si="7"/>
        <v>1.311451208109837</v>
      </c>
      <c r="H29" s="62">
        <f t="shared" si="7"/>
        <v>1.6195605173159322</v>
      </c>
      <c r="I29" s="62">
        <f t="shared" si="7"/>
        <v>1.7911585365853657</v>
      </c>
      <c r="J29" s="62">
        <f t="shared" si="7"/>
        <v>1.1666059059423988</v>
      </c>
      <c r="K29" s="62">
        <f t="shared" si="7"/>
        <v>1.0579976872587502</v>
      </c>
    </row>
    <row r="30" spans="1:11" ht="15">
      <c r="A30" s="104" t="s">
        <v>173</v>
      </c>
      <c r="B30" s="62">
        <f>(B10/B18)*100</f>
        <v>0.05518154729058603</v>
      </c>
      <c r="C30" s="62">
        <f aca="true" t="shared" si="8" ref="C30:K30">(C10/C18)*100</f>
        <v>0.02032244953258366</v>
      </c>
      <c r="D30" s="62">
        <f t="shared" si="8"/>
        <v>0.0393623302499508</v>
      </c>
      <c r="E30" s="62">
        <f t="shared" si="8"/>
        <v>0.2904845168932258</v>
      </c>
      <c r="F30" s="62">
        <f t="shared" si="8"/>
        <v>0.38169545754339684</v>
      </c>
      <c r="G30" s="62">
        <f t="shared" si="8"/>
        <v>0.3518527631514197</v>
      </c>
      <c r="H30" s="62">
        <f t="shared" si="8"/>
        <v>0.2712370769291246</v>
      </c>
      <c r="I30" s="62">
        <f t="shared" si="8"/>
        <v>0.3212108013937282</v>
      </c>
      <c r="J30" s="62">
        <f t="shared" si="8"/>
        <v>0.2135305452840998</v>
      </c>
      <c r="K30" s="62">
        <f t="shared" si="8"/>
        <v>0.2661281128357139</v>
      </c>
    </row>
    <row r="31" spans="1:11" ht="15">
      <c r="A31" s="104" t="s">
        <v>174</v>
      </c>
      <c r="B31" s="62">
        <f>(B11/B18)*100</f>
        <v>0.02207261891623441</v>
      </c>
      <c r="C31" s="62">
        <f aca="true" t="shared" si="9" ref="C31:K31">(C11/C18)*100</f>
        <v>0.027096599376778215</v>
      </c>
      <c r="D31" s="62">
        <f t="shared" si="9"/>
        <v>0.09840582562487699</v>
      </c>
      <c r="E31" s="62">
        <f t="shared" si="9"/>
        <v>0.39342320491849514</v>
      </c>
      <c r="F31" s="62">
        <f t="shared" si="9"/>
        <v>0.47431273768260335</v>
      </c>
      <c r="G31" s="62">
        <f t="shared" si="9"/>
        <v>0.3936814133162738</v>
      </c>
      <c r="H31" s="62">
        <f t="shared" si="9"/>
        <v>0.44813082275246663</v>
      </c>
      <c r="I31" s="62">
        <f t="shared" si="9"/>
        <v>0.5389808362369338</v>
      </c>
      <c r="J31" s="62">
        <f t="shared" si="9"/>
        <v>0.5260142700900995</v>
      </c>
      <c r="K31" s="62">
        <f t="shared" si="9"/>
        <v>0.3625466212804769</v>
      </c>
    </row>
    <row r="32" spans="1:11" ht="15">
      <c r="A32" s="104" t="s">
        <v>175</v>
      </c>
      <c r="B32" s="62">
        <f>(B12/B18)*100</f>
        <v>0</v>
      </c>
      <c r="C32" s="62">
        <f aca="true" t="shared" si="10" ref="C32:K32">(C12/C18)*100</f>
        <v>0</v>
      </c>
      <c r="D32" s="62">
        <f t="shared" si="10"/>
        <v>0</v>
      </c>
      <c r="E32" s="62">
        <f t="shared" si="10"/>
        <v>0.06627559366010491</v>
      </c>
      <c r="F32" s="62">
        <f t="shared" si="10"/>
        <v>0.09261728013920659</v>
      </c>
      <c r="G32" s="62">
        <f t="shared" si="10"/>
        <v>0.06397322966389449</v>
      </c>
      <c r="H32" s="62">
        <f t="shared" si="10"/>
        <v>0.06682652619992924</v>
      </c>
      <c r="I32" s="62">
        <f t="shared" si="10"/>
        <v>0.08166376306620209</v>
      </c>
      <c r="J32" s="62">
        <f t="shared" si="10"/>
        <v>0.05208062080099995</v>
      </c>
      <c r="K32" s="62">
        <f t="shared" si="10"/>
        <v>0.058958614961155724</v>
      </c>
    </row>
    <row r="33" spans="1:11" ht="15" customHeight="1">
      <c r="A33" s="104" t="s">
        <v>92</v>
      </c>
      <c r="B33" s="62">
        <f>(B13/B18)*100</f>
        <v>0.485597616157157</v>
      </c>
      <c r="C33" s="62">
        <f aca="true" t="shared" si="11" ref="C33:K33">(C13/C18)*100</f>
        <v>0.35902994174231134</v>
      </c>
      <c r="D33" s="62">
        <f t="shared" si="11"/>
        <v>0.3148986419996064</v>
      </c>
      <c r="E33" s="62">
        <f t="shared" si="11"/>
        <v>0.49354165491567487</v>
      </c>
      <c r="F33" s="62">
        <f t="shared" si="11"/>
        <v>0.3774855811734329</v>
      </c>
      <c r="G33" s="62">
        <f t="shared" si="11"/>
        <v>0.3370897101520594</v>
      </c>
      <c r="H33" s="62">
        <f t="shared" si="11"/>
        <v>0.46778568339950466</v>
      </c>
      <c r="I33" s="62">
        <f t="shared" si="11"/>
        <v>0.3974303135888502</v>
      </c>
      <c r="J33" s="62">
        <f t="shared" si="11"/>
        <v>0.3437320972865997</v>
      </c>
      <c r="K33" s="62">
        <f t="shared" si="11"/>
        <v>0.4153162103617322</v>
      </c>
    </row>
    <row r="34" spans="1:11" ht="15">
      <c r="A34" s="104" t="s">
        <v>176</v>
      </c>
      <c r="B34" s="62">
        <f>(B14/B18)*100</f>
        <v>0.6014788654673877</v>
      </c>
      <c r="C34" s="62">
        <f aca="true" t="shared" si="12" ref="C34:K34">(C14/C18)*100</f>
        <v>0.38612654111908956</v>
      </c>
      <c r="D34" s="62">
        <f t="shared" si="12"/>
        <v>0.4723479629994096</v>
      </c>
      <c r="E34" s="62">
        <f t="shared" si="12"/>
        <v>1.924812454171132</v>
      </c>
      <c r="F34" s="62">
        <f t="shared" si="12"/>
        <v>1.9828517702530135</v>
      </c>
      <c r="G34" s="62">
        <f t="shared" si="12"/>
        <v>1.7887899217558192</v>
      </c>
      <c r="H34" s="62">
        <f t="shared" si="12"/>
        <v>1.996933841739062</v>
      </c>
      <c r="I34" s="62">
        <f t="shared" si="12"/>
        <v>3.467987804878049</v>
      </c>
      <c r="J34" s="62">
        <f t="shared" si="12"/>
        <v>4.400812457684496</v>
      </c>
      <c r="K34" s="62">
        <f t="shared" si="12"/>
        <v>1.8951448720663202</v>
      </c>
    </row>
    <row r="35" spans="1:11" ht="15">
      <c r="A35" s="104" t="s">
        <v>94</v>
      </c>
      <c r="B35" s="62">
        <f>(B15/B18)*100</f>
        <v>0.229003421255932</v>
      </c>
      <c r="C35" s="62">
        <f aca="true" t="shared" si="13" ref="C35:K35">(C15/C18)*100</f>
        <v>0.20999864517003117</v>
      </c>
      <c r="D35" s="62">
        <f t="shared" si="13"/>
        <v>0.1672899035622909</v>
      </c>
      <c r="E35" s="62">
        <f t="shared" si="13"/>
        <v>0.18613570985391167</v>
      </c>
      <c r="F35" s="62">
        <f t="shared" si="13"/>
        <v>0.12769958322223937</v>
      </c>
      <c r="G35" s="62">
        <f t="shared" si="13"/>
        <v>0.16977510949264307</v>
      </c>
      <c r="H35" s="62">
        <f t="shared" si="13"/>
        <v>0.14544596878808128</v>
      </c>
      <c r="I35" s="62">
        <f t="shared" si="13"/>
        <v>0.18510452961672474</v>
      </c>
      <c r="J35" s="62">
        <f t="shared" si="13"/>
        <v>0.17186604864329985</v>
      </c>
      <c r="K35" s="62">
        <f t="shared" si="13"/>
        <v>0.17166403361618265</v>
      </c>
    </row>
    <row r="36" spans="1:11" ht="15">
      <c r="A36" s="104" t="s">
        <v>177</v>
      </c>
      <c r="B36" s="62">
        <f>(B16/B18)*100</f>
        <v>14.06301732700585</v>
      </c>
      <c r="C36" s="62">
        <f aca="true" t="shared" si="14" ref="C36:K36">(C16/C18)*100</f>
        <v>15.167321501151607</v>
      </c>
      <c r="D36" s="62">
        <f t="shared" si="14"/>
        <v>14.445975201731942</v>
      </c>
      <c r="E36" s="62">
        <f t="shared" si="14"/>
        <v>27.39015172880591</v>
      </c>
      <c r="F36" s="62">
        <f t="shared" si="14"/>
        <v>30.64649668121413</v>
      </c>
      <c r="G36" s="62">
        <f t="shared" si="14"/>
        <v>20.10235716746223</v>
      </c>
      <c r="H36" s="62">
        <f t="shared" si="14"/>
        <v>13.38102912850348</v>
      </c>
      <c r="I36" s="62">
        <f t="shared" si="14"/>
        <v>10.51284843205575</v>
      </c>
      <c r="J36" s="62">
        <f t="shared" si="14"/>
        <v>9.160981198895891</v>
      </c>
      <c r="K36" s="62">
        <f t="shared" si="14"/>
        <v>21.280802618935162</v>
      </c>
    </row>
    <row r="37" spans="1:11" ht="15">
      <c r="A37" s="104" t="s">
        <v>95</v>
      </c>
      <c r="B37" s="62">
        <f>(B17/B18)*100</f>
        <v>4.331751462311003</v>
      </c>
      <c r="C37" s="62">
        <f aca="true" t="shared" si="15" ref="C37:K37">(C17/C18)*100</f>
        <v>2.987400081289798</v>
      </c>
      <c r="D37" s="62">
        <f t="shared" si="15"/>
        <v>1.9877976776225152</v>
      </c>
      <c r="E37" s="62">
        <f t="shared" si="15"/>
        <v>1.8317445992441763</v>
      </c>
      <c r="F37" s="62">
        <f t="shared" si="15"/>
        <v>2.8472797182189415</v>
      </c>
      <c r="G37" s="62">
        <f t="shared" si="15"/>
        <v>2.231681511736627</v>
      </c>
      <c r="H37" s="62">
        <f t="shared" si="15"/>
        <v>1.9222453712803174</v>
      </c>
      <c r="I37" s="62">
        <f t="shared" si="15"/>
        <v>1.633275261324042</v>
      </c>
      <c r="J37" s="62">
        <f t="shared" si="15"/>
        <v>1.3332638925055988</v>
      </c>
      <c r="K37" s="62">
        <f t="shared" si="15"/>
        <v>2.4407563641101646</v>
      </c>
    </row>
    <row r="38" spans="1:11" ht="15">
      <c r="A38" s="107" t="s">
        <v>20</v>
      </c>
      <c r="B38" s="44">
        <f>B24+B25+B26+B27+B28+B29+B30+B31+B32+B33+B34+B35+B36+B37</f>
        <v>100.00000000000003</v>
      </c>
      <c r="C38" s="44">
        <f aca="true" t="shared" si="16" ref="C38:K38">C24+C25+C26+C27+C28+C29+C30+C31+C32+C33+C34+C35+C36+C37</f>
        <v>99.99999999999997</v>
      </c>
      <c r="D38" s="44">
        <f t="shared" si="16"/>
        <v>100</v>
      </c>
      <c r="E38" s="44">
        <f t="shared" si="16"/>
        <v>100.00000000000001</v>
      </c>
      <c r="F38" s="44">
        <f t="shared" si="16"/>
        <v>100</v>
      </c>
      <c r="G38" s="44">
        <f t="shared" si="16"/>
        <v>100</v>
      </c>
      <c r="H38" s="44">
        <f t="shared" si="16"/>
        <v>99.99999999999999</v>
      </c>
      <c r="I38" s="44">
        <f t="shared" si="16"/>
        <v>100.00000000000001</v>
      </c>
      <c r="J38" s="44">
        <f t="shared" si="16"/>
        <v>100.00000000000001</v>
      </c>
      <c r="K38" s="44">
        <f t="shared" si="16"/>
        <v>100.00000000000003</v>
      </c>
    </row>
    <row r="39" spans="1:11" ht="15">
      <c r="A39" s="101" t="s">
        <v>188</v>
      </c>
      <c r="C39" s="101"/>
      <c r="K39" s="58" t="s">
        <v>18</v>
      </c>
    </row>
    <row r="40" spans="3:11" ht="15">
      <c r="C40" s="102"/>
      <c r="K40" s="58" t="s">
        <v>31</v>
      </c>
    </row>
  </sheetData>
  <sheetProtection/>
  <mergeCells count="2">
    <mergeCell ref="B2:J2"/>
    <mergeCell ref="B22:J22"/>
  </mergeCells>
  <printOptions/>
  <pageMargins left="0.25" right="0.25" top="0.25" bottom="0.43" header="0.25" footer="0.25"/>
  <pageSetup horizontalDpi="300" verticalDpi="300" orientation="landscape" paperSize="9" scale="92" r:id="rId2"/>
  <headerFooter alignWithMargins="0">
    <oddFooter>&amp;L2011 Census Detailed Characteristics - Cultural Characteristics - &amp;A 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131"/>
  <sheetViews>
    <sheetView zoomScalePageLayoutView="0" workbookViewId="0" topLeftCell="CB62">
      <selection activeCell="CH105" sqref="CH105"/>
    </sheetView>
  </sheetViews>
  <sheetFormatPr defaultColWidth="9.140625" defaultRowHeight="12.75"/>
  <cols>
    <col min="1" max="1" width="51.421875" style="0" customWidth="1"/>
    <col min="2" max="2" width="19.28125" style="0" customWidth="1"/>
    <col min="3" max="3" width="18.421875" style="0" customWidth="1"/>
    <col min="4" max="4" width="18.28125" style="0" customWidth="1"/>
    <col min="5" max="5" width="19.140625" style="0" customWidth="1"/>
    <col min="6" max="6" width="18.8515625" style="0" customWidth="1"/>
    <col min="7" max="7" width="20.8515625" style="0" customWidth="1"/>
    <col min="8" max="8" width="20.00390625" style="0" customWidth="1"/>
    <col min="9" max="9" width="18.8515625" style="0" customWidth="1"/>
    <col min="10" max="10" width="16.8515625" style="0" customWidth="1"/>
    <col min="11" max="11" width="16.140625" style="0" customWidth="1"/>
    <col min="12" max="12" width="1.57421875" style="0" customWidth="1"/>
    <col min="13" max="13" width="51.140625" style="0" customWidth="1"/>
    <col min="14" max="14" width="18.421875" style="0" customWidth="1"/>
    <col min="15" max="15" width="18.00390625" style="0" customWidth="1"/>
    <col min="16" max="16" width="15.421875" style="0" customWidth="1"/>
    <col min="17" max="17" width="14.28125" style="0" customWidth="1"/>
    <col min="18" max="18" width="17.140625" style="0" customWidth="1"/>
    <col min="19" max="19" width="17.8515625" style="0" customWidth="1"/>
    <col min="20" max="20" width="21.28125" style="0" customWidth="1"/>
    <col min="21" max="21" width="20.140625" style="0" customWidth="1"/>
    <col min="22" max="22" width="26.57421875" style="0" customWidth="1"/>
    <col min="23" max="23" width="16.7109375" style="0" customWidth="1"/>
    <col min="24" max="24" width="1.421875" style="0" customWidth="1"/>
    <col min="25" max="25" width="51.8515625" style="0" customWidth="1"/>
    <col min="26" max="26" width="22.57421875" style="0" customWidth="1"/>
    <col min="27" max="27" width="19.8515625" style="0" customWidth="1"/>
    <col min="28" max="28" width="19.57421875" style="0" customWidth="1"/>
    <col min="29" max="29" width="19.421875" style="0" customWidth="1"/>
    <col min="30" max="30" width="19.7109375" style="0" customWidth="1"/>
    <col min="31" max="31" width="19.28125" style="0" customWidth="1"/>
    <col min="32" max="32" width="19.00390625" style="0" customWidth="1"/>
    <col min="33" max="33" width="26.28125" style="0" customWidth="1"/>
    <col min="34" max="34" width="19.140625" style="0" customWidth="1"/>
    <col min="35" max="35" width="1.7109375" style="0" customWidth="1"/>
    <col min="36" max="36" width="56.8515625" style="0" customWidth="1"/>
    <col min="37" max="37" width="37.140625" style="0" customWidth="1"/>
    <col min="38" max="38" width="29.00390625" style="0" customWidth="1"/>
    <col min="39" max="39" width="29.140625" style="0" customWidth="1"/>
    <col min="40" max="40" width="26.140625" style="0" customWidth="1"/>
    <col min="41" max="41" width="33.57421875" style="0" customWidth="1"/>
    <col min="42" max="42" width="24.8515625" style="0" customWidth="1"/>
    <col min="43" max="43" width="0.2890625" style="0" customWidth="1"/>
    <col min="44" max="44" width="50.7109375" style="0" customWidth="1"/>
    <col min="45" max="45" width="7.421875" style="0" customWidth="1"/>
    <col min="46" max="46" width="10.00390625" style="0" customWidth="1"/>
    <col min="47" max="47" width="11.57421875" style="0" customWidth="1"/>
    <col min="48" max="48" width="8.00390625" style="0" customWidth="1"/>
    <col min="49" max="49" width="11.28125" style="0" customWidth="1"/>
    <col min="50" max="50" width="8.8515625" style="0" customWidth="1"/>
    <col min="51" max="51" width="12.28125" style="0" customWidth="1"/>
    <col min="52" max="52" width="11.140625" style="0" customWidth="1"/>
    <col min="53" max="53" width="15.140625" style="0" customWidth="1"/>
    <col min="54" max="54" width="24.00390625" style="0" customWidth="1"/>
    <col min="55" max="55" width="9.7109375" style="0" customWidth="1"/>
    <col min="56" max="56" width="15.7109375" style="0" customWidth="1"/>
    <col min="57" max="57" width="12.140625" style="0" customWidth="1"/>
    <col min="58" max="58" width="21.140625" style="0" customWidth="1"/>
    <col min="59" max="59" width="9.7109375" style="0" customWidth="1"/>
    <col min="60" max="60" width="1.57421875" style="0" customWidth="1"/>
    <col min="61" max="61" width="51.421875" style="0" customWidth="1"/>
    <col min="62" max="62" width="18.57421875" style="0" customWidth="1"/>
    <col min="63" max="63" width="14.8515625" style="0" customWidth="1"/>
    <col min="64" max="64" width="13.28125" style="0" customWidth="1"/>
    <col min="65" max="65" width="14.8515625" style="0" customWidth="1"/>
    <col min="66" max="66" width="16.8515625" style="0" customWidth="1"/>
    <col min="67" max="68" width="18.140625" style="0" customWidth="1"/>
    <col min="69" max="70" width="17.7109375" style="0" customWidth="1"/>
    <col min="71" max="71" width="18.421875" style="0" customWidth="1"/>
    <col min="72" max="72" width="16.7109375" style="0" customWidth="1"/>
    <col min="73" max="73" width="1.57421875" style="0" customWidth="1"/>
    <col min="74" max="74" width="53.00390625" style="0" customWidth="1"/>
    <col min="75" max="75" width="62.7109375" style="0" customWidth="1"/>
    <col min="76" max="76" width="62.28125" style="0" customWidth="1"/>
    <col min="77" max="77" width="58.421875" style="0" customWidth="1"/>
    <col min="78" max="78" width="1.1484375" style="0" customWidth="1"/>
    <col min="79" max="79" width="53.7109375" style="0" customWidth="1"/>
    <col min="80" max="80" width="37.8515625" style="0" customWidth="1"/>
    <col min="81" max="81" width="37.7109375" style="0" customWidth="1"/>
    <col min="82" max="82" width="40.421875" style="0" customWidth="1"/>
    <col min="83" max="83" width="39.7109375" style="0" customWidth="1"/>
    <col min="84" max="84" width="27.8515625" style="0" customWidth="1"/>
  </cols>
  <sheetData>
    <row r="1" spans="1:84" ht="15">
      <c r="A1" s="56" t="s">
        <v>274</v>
      </c>
      <c r="B1" s="59"/>
      <c r="C1" s="59"/>
      <c r="D1" s="59"/>
      <c r="E1" s="59"/>
      <c r="F1" s="59"/>
      <c r="G1" s="59"/>
      <c r="H1" s="59"/>
      <c r="I1" s="59"/>
      <c r="J1" s="59"/>
      <c r="K1" s="159"/>
      <c r="M1" s="56" t="s">
        <v>277</v>
      </c>
      <c r="N1" s="59"/>
      <c r="O1" s="59"/>
      <c r="P1" s="59"/>
      <c r="Q1" s="59"/>
      <c r="R1" s="59"/>
      <c r="S1" s="59"/>
      <c r="T1" s="59"/>
      <c r="U1" s="59"/>
      <c r="V1" s="59"/>
      <c r="W1" s="159"/>
      <c r="Y1" s="56" t="s">
        <v>281</v>
      </c>
      <c r="Z1" s="59"/>
      <c r="AA1" s="59"/>
      <c r="AB1" s="59"/>
      <c r="AC1" s="59"/>
      <c r="AD1" s="59"/>
      <c r="AE1" s="59"/>
      <c r="AF1" s="59"/>
      <c r="AG1" s="59"/>
      <c r="AH1" s="59"/>
      <c r="AI1" s="159"/>
      <c r="AJ1" s="56" t="s">
        <v>289</v>
      </c>
      <c r="AK1" s="59"/>
      <c r="AL1" s="59"/>
      <c r="AM1" s="59"/>
      <c r="AN1" s="59"/>
      <c r="AO1" s="59"/>
      <c r="AP1" s="59"/>
      <c r="AQ1" s="59"/>
      <c r="AR1" s="56" t="s">
        <v>304</v>
      </c>
      <c r="AS1" s="59"/>
      <c r="AT1" s="59"/>
      <c r="AU1" s="59"/>
      <c r="AV1" s="59"/>
      <c r="AW1" s="59"/>
      <c r="AX1" s="59"/>
      <c r="AY1" s="59"/>
      <c r="AZ1" s="59"/>
      <c r="BA1" s="59"/>
      <c r="BI1" s="56" t="s">
        <v>320</v>
      </c>
      <c r="BJ1" s="59"/>
      <c r="BK1" s="59"/>
      <c r="BL1" s="59"/>
      <c r="BM1" s="59"/>
      <c r="BN1" s="59"/>
      <c r="BO1" s="59"/>
      <c r="BP1" s="59"/>
      <c r="BQ1" s="59"/>
      <c r="BR1" s="59"/>
      <c r="BS1" s="159"/>
      <c r="BV1" s="56" t="s">
        <v>326</v>
      </c>
      <c r="BW1" s="59"/>
      <c r="BX1" s="59"/>
      <c r="BY1" s="59"/>
      <c r="BZ1" s="59"/>
      <c r="CA1" s="56" t="s">
        <v>337</v>
      </c>
      <c r="CB1" s="59"/>
      <c r="CC1" s="59"/>
      <c r="CD1" s="59"/>
      <c r="CE1" s="59"/>
      <c r="CF1" s="159"/>
    </row>
    <row r="2" spans="1:85" ht="15" customHeight="1">
      <c r="A2" s="254" t="s">
        <v>155</v>
      </c>
      <c r="B2" s="256" t="s">
        <v>28</v>
      </c>
      <c r="C2" s="256"/>
      <c r="D2" s="256"/>
      <c r="E2" s="256"/>
      <c r="F2" s="256"/>
      <c r="G2" s="256"/>
      <c r="H2" s="256"/>
      <c r="I2" s="256"/>
      <c r="J2" s="259"/>
      <c r="K2" s="60"/>
      <c r="M2" s="254" t="s">
        <v>155</v>
      </c>
      <c r="N2" s="256" t="s">
        <v>81</v>
      </c>
      <c r="O2" s="256"/>
      <c r="P2" s="256"/>
      <c r="Q2" s="256"/>
      <c r="R2" s="256"/>
      <c r="S2" s="256"/>
      <c r="T2" s="256"/>
      <c r="U2" s="256"/>
      <c r="V2" s="259"/>
      <c r="W2" s="60"/>
      <c r="Y2" s="254" t="s">
        <v>155</v>
      </c>
      <c r="Z2" s="142"/>
      <c r="AA2" s="279" t="s">
        <v>280</v>
      </c>
      <c r="AB2" s="279"/>
      <c r="AC2" s="279"/>
      <c r="AD2" s="279"/>
      <c r="AE2" s="279"/>
      <c r="AF2" s="279"/>
      <c r="AG2" s="54"/>
      <c r="AH2" s="90"/>
      <c r="AJ2" s="254" t="s">
        <v>155</v>
      </c>
      <c r="AK2" s="142"/>
      <c r="AL2" s="263" t="s">
        <v>290</v>
      </c>
      <c r="AM2" s="271"/>
      <c r="AN2" s="272"/>
      <c r="AO2" s="54"/>
      <c r="AP2" s="90"/>
      <c r="AQ2" s="95"/>
      <c r="AR2" s="17" t="s">
        <v>155</v>
      </c>
      <c r="AS2" s="256" t="s">
        <v>303</v>
      </c>
      <c r="AT2" s="256"/>
      <c r="AU2" s="256"/>
      <c r="AV2" s="256"/>
      <c r="AW2" s="256"/>
      <c r="AX2" s="256"/>
      <c r="AY2" s="256"/>
      <c r="AZ2" s="256"/>
      <c r="BA2" s="256"/>
      <c r="BB2" s="277"/>
      <c r="BC2" s="277"/>
      <c r="BD2" s="277"/>
      <c r="BE2" s="277"/>
      <c r="BF2" s="278"/>
      <c r="BG2" s="142"/>
      <c r="BI2" s="254" t="s">
        <v>155</v>
      </c>
      <c r="BJ2" s="259" t="s">
        <v>318</v>
      </c>
      <c r="BK2" s="279"/>
      <c r="BL2" s="279"/>
      <c r="BM2" s="279"/>
      <c r="BN2" s="279"/>
      <c r="BO2" s="279"/>
      <c r="BP2" s="279"/>
      <c r="BQ2" s="279"/>
      <c r="BR2" s="279"/>
      <c r="BS2" s="280"/>
      <c r="BT2" s="60"/>
      <c r="BV2" s="254" t="s">
        <v>155</v>
      </c>
      <c r="BW2" s="263" t="s">
        <v>325</v>
      </c>
      <c r="BX2" s="264"/>
      <c r="BY2" s="90"/>
      <c r="BZ2" s="95"/>
      <c r="CA2" s="254" t="s">
        <v>155</v>
      </c>
      <c r="CB2" s="263" t="s">
        <v>334</v>
      </c>
      <c r="CC2" s="264"/>
      <c r="CD2" s="271"/>
      <c r="CE2" s="272"/>
      <c r="CF2" s="90"/>
      <c r="CG2" s="159"/>
    </row>
    <row r="3" spans="1:85" ht="15" customHeight="1">
      <c r="A3" s="267"/>
      <c r="B3" s="2" t="s">
        <v>178</v>
      </c>
      <c r="C3" s="108" t="s">
        <v>179</v>
      </c>
      <c r="D3" s="109" t="s">
        <v>180</v>
      </c>
      <c r="E3" s="110" t="s">
        <v>181</v>
      </c>
      <c r="F3" s="2" t="s">
        <v>182</v>
      </c>
      <c r="G3" s="2" t="s">
        <v>183</v>
      </c>
      <c r="H3" s="2" t="s">
        <v>184</v>
      </c>
      <c r="I3" s="2" t="s">
        <v>185</v>
      </c>
      <c r="J3" s="51" t="s">
        <v>186</v>
      </c>
      <c r="K3" s="91" t="s">
        <v>20</v>
      </c>
      <c r="M3" s="267"/>
      <c r="N3" s="2" t="s">
        <v>82</v>
      </c>
      <c r="O3" s="2" t="s">
        <v>83</v>
      </c>
      <c r="P3" s="2" t="s">
        <v>84</v>
      </c>
      <c r="Q3" s="2" t="s">
        <v>85</v>
      </c>
      <c r="R3" s="2" t="s">
        <v>86</v>
      </c>
      <c r="S3" s="2" t="s">
        <v>87</v>
      </c>
      <c r="T3" s="2" t="s">
        <v>197</v>
      </c>
      <c r="U3" s="2" t="s">
        <v>89</v>
      </c>
      <c r="V3" s="2" t="s">
        <v>198</v>
      </c>
      <c r="W3" s="91" t="s">
        <v>20</v>
      </c>
      <c r="Y3" s="267"/>
      <c r="Z3" s="91" t="s">
        <v>33</v>
      </c>
      <c r="AA3" s="2" t="s">
        <v>97</v>
      </c>
      <c r="AB3" s="2" t="s">
        <v>22</v>
      </c>
      <c r="AC3" s="2" t="s">
        <v>23</v>
      </c>
      <c r="AD3" s="2" t="s">
        <v>24</v>
      </c>
      <c r="AE3" s="2" t="s">
        <v>25</v>
      </c>
      <c r="AF3" s="2" t="s">
        <v>59</v>
      </c>
      <c r="AG3" s="93" t="s">
        <v>279</v>
      </c>
      <c r="AH3" s="91" t="s">
        <v>48</v>
      </c>
      <c r="AJ3" s="267"/>
      <c r="AK3" s="91" t="s">
        <v>284</v>
      </c>
      <c r="AL3" s="2" t="s">
        <v>285</v>
      </c>
      <c r="AM3" s="2" t="s">
        <v>286</v>
      </c>
      <c r="AN3" s="51" t="s">
        <v>287</v>
      </c>
      <c r="AO3" s="93" t="s">
        <v>288</v>
      </c>
      <c r="AP3" s="91" t="s">
        <v>48</v>
      </c>
      <c r="AQ3" s="100"/>
      <c r="AR3" s="83"/>
      <c r="AS3" s="239" t="s">
        <v>293</v>
      </c>
      <c r="AT3" s="239" t="s">
        <v>294</v>
      </c>
      <c r="AU3" s="239" t="s">
        <v>295</v>
      </c>
      <c r="AV3" s="239" t="s">
        <v>296</v>
      </c>
      <c r="AW3" s="239" t="s">
        <v>297</v>
      </c>
      <c r="AX3" s="239" t="s">
        <v>298</v>
      </c>
      <c r="AY3" s="239" t="s">
        <v>299</v>
      </c>
      <c r="AZ3" s="239" t="s">
        <v>300</v>
      </c>
      <c r="BA3" s="239" t="s">
        <v>301</v>
      </c>
      <c r="BB3" s="239" t="s">
        <v>92</v>
      </c>
      <c r="BC3" s="239" t="s">
        <v>302</v>
      </c>
      <c r="BD3" s="239" t="s">
        <v>94</v>
      </c>
      <c r="BE3" s="239" t="s">
        <v>177</v>
      </c>
      <c r="BF3" s="241" t="s">
        <v>95</v>
      </c>
      <c r="BG3" s="275" t="s">
        <v>20</v>
      </c>
      <c r="BI3" s="267"/>
      <c r="BJ3" s="2" t="s">
        <v>308</v>
      </c>
      <c r="BK3" s="2" t="s">
        <v>309</v>
      </c>
      <c r="BL3" s="2" t="s">
        <v>310</v>
      </c>
      <c r="BM3" s="2" t="s">
        <v>311</v>
      </c>
      <c r="BN3" s="2" t="s">
        <v>312</v>
      </c>
      <c r="BO3" s="2" t="s">
        <v>313</v>
      </c>
      <c r="BP3" s="2" t="s">
        <v>314</v>
      </c>
      <c r="BQ3" s="2" t="s">
        <v>315</v>
      </c>
      <c r="BR3" s="2" t="s">
        <v>316</v>
      </c>
      <c r="BS3" s="2" t="s">
        <v>317</v>
      </c>
      <c r="BT3" s="91" t="s">
        <v>20</v>
      </c>
      <c r="BV3" s="267"/>
      <c r="BW3" s="2" t="s">
        <v>323</v>
      </c>
      <c r="BX3" s="2" t="s">
        <v>324</v>
      </c>
      <c r="BY3" s="91" t="s">
        <v>20</v>
      </c>
      <c r="BZ3" s="100"/>
      <c r="CA3" s="267"/>
      <c r="CB3" s="2" t="s">
        <v>330</v>
      </c>
      <c r="CC3" s="2" t="s">
        <v>331</v>
      </c>
      <c r="CD3" s="2" t="s">
        <v>332</v>
      </c>
      <c r="CE3" s="2" t="s">
        <v>333</v>
      </c>
      <c r="CF3" s="91" t="s">
        <v>20</v>
      </c>
      <c r="CG3" s="100"/>
    </row>
    <row r="4" spans="1:85" ht="15">
      <c r="A4" s="67" t="s">
        <v>132</v>
      </c>
      <c r="B4" s="71">
        <v>21784</v>
      </c>
      <c r="C4" s="71">
        <v>7550</v>
      </c>
      <c r="D4" s="71">
        <v>5247</v>
      </c>
      <c r="E4" s="71">
        <v>53434</v>
      </c>
      <c r="F4" s="71">
        <v>55650</v>
      </c>
      <c r="G4" s="71">
        <v>28670</v>
      </c>
      <c r="H4" s="71">
        <v>18474</v>
      </c>
      <c r="I4" s="71">
        <v>14005</v>
      </c>
      <c r="J4" s="143">
        <v>14402</v>
      </c>
      <c r="K4" s="162">
        <f>SUM(B4:J4)</f>
        <v>219216</v>
      </c>
      <c r="M4" s="67" t="s">
        <v>132</v>
      </c>
      <c r="N4" s="71">
        <v>127445</v>
      </c>
      <c r="O4" s="71">
        <v>742</v>
      </c>
      <c r="P4" s="71">
        <v>137</v>
      </c>
      <c r="Q4" s="71">
        <v>1453</v>
      </c>
      <c r="R4" s="71">
        <v>2096</v>
      </c>
      <c r="S4" s="71">
        <v>38</v>
      </c>
      <c r="T4" s="71">
        <v>797</v>
      </c>
      <c r="U4" s="71">
        <v>69686</v>
      </c>
      <c r="V4" s="143">
        <v>16822</v>
      </c>
      <c r="W4" s="162">
        <f aca="true" t="shared" si="0" ref="W4:W13">SUM(N4:V4)</f>
        <v>219216</v>
      </c>
      <c r="Y4" s="67" t="s">
        <v>132</v>
      </c>
      <c r="Z4" s="71">
        <v>157667</v>
      </c>
      <c r="AA4" s="71">
        <v>10458</v>
      </c>
      <c r="AB4" s="71">
        <v>22507</v>
      </c>
      <c r="AC4" s="71">
        <v>22720</v>
      </c>
      <c r="AD4" s="71">
        <v>4792</v>
      </c>
      <c r="AE4" s="71">
        <v>854</v>
      </c>
      <c r="AF4" s="71">
        <v>218</v>
      </c>
      <c r="AG4" s="172">
        <v>61549</v>
      </c>
      <c r="AH4" s="174">
        <f>Z4+AA4+AB4+AC4+AD4+AE4+AF4</f>
        <v>219216</v>
      </c>
      <c r="AJ4" s="67" t="s">
        <v>132</v>
      </c>
      <c r="AK4" s="71">
        <v>205970</v>
      </c>
      <c r="AL4" s="71">
        <v>9056</v>
      </c>
      <c r="AM4" s="71">
        <v>1654</v>
      </c>
      <c r="AN4" s="71">
        <v>2536</v>
      </c>
      <c r="AO4" s="172">
        <v>13246</v>
      </c>
      <c r="AP4" s="174">
        <f>AK4+AL4+AM4+AN4</f>
        <v>219216</v>
      </c>
      <c r="AQ4" s="178"/>
      <c r="AR4" s="182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4"/>
      <c r="BG4" s="276"/>
      <c r="BI4" s="67" t="s">
        <v>132</v>
      </c>
      <c r="BJ4" s="172">
        <v>9910</v>
      </c>
      <c r="BK4" s="172">
        <v>4911</v>
      </c>
      <c r="BL4" s="172">
        <v>5704</v>
      </c>
      <c r="BM4" s="172">
        <v>3179</v>
      </c>
      <c r="BN4" s="172">
        <v>3004</v>
      </c>
      <c r="BO4" s="172">
        <v>4053</v>
      </c>
      <c r="BP4" s="172">
        <v>1209</v>
      </c>
      <c r="BQ4" s="172">
        <v>1166</v>
      </c>
      <c r="BR4" s="71">
        <v>1057</v>
      </c>
      <c r="BS4" s="190">
        <v>786</v>
      </c>
      <c r="BT4" s="160">
        <f>SUM(BJ4:BS4)</f>
        <v>34979</v>
      </c>
      <c r="BV4" s="67" t="s">
        <v>132</v>
      </c>
      <c r="BW4" s="172">
        <v>16342</v>
      </c>
      <c r="BX4" s="172">
        <v>15654</v>
      </c>
      <c r="BY4" s="72">
        <f>BW4+BX4</f>
        <v>31996</v>
      </c>
      <c r="BZ4" s="178"/>
      <c r="CA4" s="197" t="s">
        <v>132</v>
      </c>
      <c r="CB4" s="198">
        <v>64005</v>
      </c>
      <c r="CC4" s="198">
        <v>33615</v>
      </c>
      <c r="CD4" s="190">
        <v>1396</v>
      </c>
      <c r="CE4" s="71">
        <v>590</v>
      </c>
      <c r="CF4" s="199">
        <f>CB4+CC4+CD4+CE4</f>
        <v>99606</v>
      </c>
      <c r="CG4" s="168"/>
    </row>
    <row r="5" spans="1:85" ht="15">
      <c r="A5" s="3" t="s">
        <v>254</v>
      </c>
      <c r="B5" s="4">
        <v>17546</v>
      </c>
      <c r="C5" s="4">
        <v>6274</v>
      </c>
      <c r="D5" s="4">
        <v>4482</v>
      </c>
      <c r="E5" s="4">
        <v>38090</v>
      </c>
      <c r="F5" s="4">
        <v>36670</v>
      </c>
      <c r="G5" s="4">
        <v>21713</v>
      </c>
      <c r="H5" s="144">
        <v>15370</v>
      </c>
      <c r="I5" s="144">
        <v>11725</v>
      </c>
      <c r="J5" s="145">
        <v>11869</v>
      </c>
      <c r="K5" s="161">
        <f aca="true" t="shared" si="1" ref="K5:K26">SUM(B5:J5)</f>
        <v>163739</v>
      </c>
      <c r="M5" s="3" t="s">
        <v>254</v>
      </c>
      <c r="N5" s="4">
        <v>92032</v>
      </c>
      <c r="O5" s="4">
        <v>498</v>
      </c>
      <c r="P5" s="4">
        <v>76</v>
      </c>
      <c r="Q5" s="4">
        <v>1065</v>
      </c>
      <c r="R5" s="4">
        <v>698</v>
      </c>
      <c r="S5" s="4">
        <v>29</v>
      </c>
      <c r="T5" s="144">
        <v>576</v>
      </c>
      <c r="U5" s="144">
        <v>56294</v>
      </c>
      <c r="V5" s="145">
        <v>12471</v>
      </c>
      <c r="W5" s="161">
        <f t="shared" si="0"/>
        <v>163739</v>
      </c>
      <c r="Y5" s="3" t="s">
        <v>254</v>
      </c>
      <c r="Z5" s="4">
        <v>150251</v>
      </c>
      <c r="AA5" s="4">
        <v>5751</v>
      </c>
      <c r="AB5" s="4">
        <v>3717</v>
      </c>
      <c r="AC5" s="4">
        <v>3137</v>
      </c>
      <c r="AD5" s="4">
        <v>682</v>
      </c>
      <c r="AE5" s="4">
        <v>164</v>
      </c>
      <c r="AF5" s="144">
        <v>37</v>
      </c>
      <c r="AG5" s="144">
        <v>13488</v>
      </c>
      <c r="AH5" s="175">
        <f aca="true" t="shared" si="2" ref="AH5:AH26">Z5+AA5+AB5+AC5+AD5+AE5+AF5</f>
        <v>163739</v>
      </c>
      <c r="AJ5" s="3" t="s">
        <v>254</v>
      </c>
      <c r="AK5" s="4">
        <v>152766</v>
      </c>
      <c r="AL5" s="4">
        <v>7651</v>
      </c>
      <c r="AM5" s="4">
        <v>1276</v>
      </c>
      <c r="AN5" s="4">
        <v>2046</v>
      </c>
      <c r="AO5" s="4">
        <v>10973</v>
      </c>
      <c r="AP5" s="175">
        <f aca="true" t="shared" si="3" ref="AP5:AP26">AK5+AL5+AM5+AN5</f>
        <v>163739</v>
      </c>
      <c r="AQ5" s="178"/>
      <c r="AR5" s="82" t="s">
        <v>132</v>
      </c>
      <c r="AS5" s="172">
        <v>42103</v>
      </c>
      <c r="AT5" s="172">
        <v>97863</v>
      </c>
      <c r="AU5" s="172">
        <v>17440</v>
      </c>
      <c r="AV5" s="172">
        <v>1963</v>
      </c>
      <c r="AW5" s="172">
        <v>511</v>
      </c>
      <c r="AX5" s="172">
        <v>3141</v>
      </c>
      <c r="AY5" s="172">
        <v>803</v>
      </c>
      <c r="AZ5" s="172">
        <v>1085</v>
      </c>
      <c r="BA5" s="173">
        <v>176</v>
      </c>
      <c r="BB5" s="173">
        <v>1150</v>
      </c>
      <c r="BC5" s="173">
        <v>5612</v>
      </c>
      <c r="BD5" s="173">
        <v>479</v>
      </c>
      <c r="BE5" s="173">
        <v>42055</v>
      </c>
      <c r="BF5" s="173">
        <v>4835</v>
      </c>
      <c r="BG5" s="162">
        <f>SUM(AS5:BF5)</f>
        <v>219216</v>
      </c>
      <c r="BI5" s="3" t="s">
        <v>254</v>
      </c>
      <c r="BJ5" s="4">
        <v>7120</v>
      </c>
      <c r="BK5" s="4">
        <v>3572</v>
      </c>
      <c r="BL5" s="4">
        <v>4217</v>
      </c>
      <c r="BM5" s="4">
        <v>2378</v>
      </c>
      <c r="BN5" s="4">
        <v>2287</v>
      </c>
      <c r="BO5" s="4">
        <v>3120</v>
      </c>
      <c r="BP5" s="144">
        <v>950</v>
      </c>
      <c r="BQ5" s="144">
        <v>916</v>
      </c>
      <c r="BR5" s="144">
        <v>865</v>
      </c>
      <c r="BS5" s="99">
        <v>612</v>
      </c>
      <c r="BT5" s="61">
        <f aca="true" t="shared" si="4" ref="BT5:BT27">SUM(BJ5:BS5)</f>
        <v>26037</v>
      </c>
      <c r="BV5" s="3" t="s">
        <v>254</v>
      </c>
      <c r="BW5" s="4">
        <v>13306</v>
      </c>
      <c r="BX5" s="4">
        <v>12763</v>
      </c>
      <c r="BY5" s="6">
        <f aca="true" t="shared" si="5" ref="BY5:BY27">BW5+BX5</f>
        <v>26069</v>
      </c>
      <c r="BZ5" s="178"/>
      <c r="CA5" s="3" t="s">
        <v>254</v>
      </c>
      <c r="CB5" s="4">
        <v>51779</v>
      </c>
      <c r="CC5" s="4">
        <v>23257</v>
      </c>
      <c r="CD5" s="99">
        <v>699</v>
      </c>
      <c r="CE5" s="105">
        <v>250</v>
      </c>
      <c r="CF5" s="200">
        <f aca="true" t="shared" si="6" ref="CF5:CF26">CB5+CC5+CD5+CE5</f>
        <v>75985</v>
      </c>
      <c r="CG5" s="168"/>
    </row>
    <row r="6" spans="1:85" ht="15">
      <c r="A6" s="3" t="s">
        <v>255</v>
      </c>
      <c r="B6" s="4">
        <v>295</v>
      </c>
      <c r="C6" s="4">
        <v>85</v>
      </c>
      <c r="D6" s="4">
        <v>79</v>
      </c>
      <c r="E6" s="4">
        <v>1620</v>
      </c>
      <c r="F6" s="4">
        <v>1755</v>
      </c>
      <c r="G6" s="4">
        <v>998</v>
      </c>
      <c r="H6" s="144">
        <v>777</v>
      </c>
      <c r="I6" s="144">
        <v>880</v>
      </c>
      <c r="J6" s="145">
        <v>1175</v>
      </c>
      <c r="K6" s="161">
        <f t="shared" si="1"/>
        <v>7664</v>
      </c>
      <c r="M6" s="3" t="s">
        <v>255</v>
      </c>
      <c r="N6" s="4">
        <v>5913</v>
      </c>
      <c r="O6" s="4">
        <v>21</v>
      </c>
      <c r="P6" s="4">
        <v>2</v>
      </c>
      <c r="Q6" s="4">
        <v>8</v>
      </c>
      <c r="R6" s="4">
        <v>42</v>
      </c>
      <c r="S6" s="4">
        <v>1</v>
      </c>
      <c r="T6" s="144">
        <v>27</v>
      </c>
      <c r="U6" s="144">
        <v>1084</v>
      </c>
      <c r="V6" s="145">
        <v>566</v>
      </c>
      <c r="W6" s="161">
        <f t="shared" si="0"/>
        <v>7664</v>
      </c>
      <c r="Y6" s="3" t="s">
        <v>255</v>
      </c>
      <c r="Z6" s="4">
        <v>2166</v>
      </c>
      <c r="AA6" s="4">
        <v>783</v>
      </c>
      <c r="AB6" s="4">
        <v>2694</v>
      </c>
      <c r="AC6" s="4">
        <v>1654</v>
      </c>
      <c r="AD6" s="4">
        <v>248</v>
      </c>
      <c r="AE6" s="4">
        <v>81</v>
      </c>
      <c r="AF6" s="144">
        <v>38</v>
      </c>
      <c r="AG6" s="144">
        <v>5498</v>
      </c>
      <c r="AH6" s="175">
        <f t="shared" si="2"/>
        <v>7664</v>
      </c>
      <c r="AJ6" s="3" t="s">
        <v>255</v>
      </c>
      <c r="AK6" s="4">
        <v>7108</v>
      </c>
      <c r="AL6" s="4">
        <v>351</v>
      </c>
      <c r="AM6" s="4">
        <v>63</v>
      </c>
      <c r="AN6" s="4">
        <v>142</v>
      </c>
      <c r="AO6" s="4">
        <v>556</v>
      </c>
      <c r="AP6" s="175">
        <f t="shared" si="3"/>
        <v>7664</v>
      </c>
      <c r="AQ6" s="178"/>
      <c r="AR6" s="3" t="s">
        <v>254</v>
      </c>
      <c r="AS6" s="4">
        <v>37558</v>
      </c>
      <c r="AT6" s="4">
        <v>95147</v>
      </c>
      <c r="AU6" s="4">
        <v>17140</v>
      </c>
      <c r="AV6" s="4">
        <v>1945</v>
      </c>
      <c r="AW6" s="4">
        <v>507</v>
      </c>
      <c r="AX6" s="4">
        <v>3108</v>
      </c>
      <c r="AY6" s="144">
        <v>801</v>
      </c>
      <c r="AZ6" s="144">
        <v>866</v>
      </c>
      <c r="BA6" s="145">
        <v>171</v>
      </c>
      <c r="BB6" s="145">
        <v>1113</v>
      </c>
      <c r="BC6" s="145">
        <v>196</v>
      </c>
      <c r="BD6" s="145">
        <v>207</v>
      </c>
      <c r="BE6" s="145">
        <v>2894</v>
      </c>
      <c r="BF6" s="145">
        <v>2086</v>
      </c>
      <c r="BG6" s="65">
        <f aca="true" t="shared" si="7" ref="BG6:BG28">SUM(AS6:BF6)</f>
        <v>163739</v>
      </c>
      <c r="BI6" s="3" t="s">
        <v>255</v>
      </c>
      <c r="BJ6" s="4">
        <v>265</v>
      </c>
      <c r="BK6" s="4">
        <v>130</v>
      </c>
      <c r="BL6" s="4">
        <v>160</v>
      </c>
      <c r="BM6" s="4">
        <v>74</v>
      </c>
      <c r="BN6" s="4">
        <v>93</v>
      </c>
      <c r="BO6" s="4">
        <v>132</v>
      </c>
      <c r="BP6" s="144">
        <v>43</v>
      </c>
      <c r="BQ6" s="144">
        <v>37</v>
      </c>
      <c r="BR6" s="144">
        <v>25</v>
      </c>
      <c r="BS6" s="99">
        <v>28</v>
      </c>
      <c r="BT6" s="61">
        <f t="shared" si="4"/>
        <v>987</v>
      </c>
      <c r="BV6" s="3" t="s">
        <v>255</v>
      </c>
      <c r="BW6" s="4">
        <v>199</v>
      </c>
      <c r="BX6" s="4">
        <v>214</v>
      </c>
      <c r="BY6" s="6">
        <f t="shared" si="5"/>
        <v>413</v>
      </c>
      <c r="BZ6" s="178"/>
      <c r="CA6" s="3" t="s">
        <v>255</v>
      </c>
      <c r="CB6" s="4">
        <v>2998</v>
      </c>
      <c r="CC6" s="4">
        <v>1187</v>
      </c>
      <c r="CD6" s="99">
        <v>42</v>
      </c>
      <c r="CE6" s="105">
        <v>26</v>
      </c>
      <c r="CF6" s="200">
        <f t="shared" si="6"/>
        <v>4253</v>
      </c>
      <c r="CG6" s="168"/>
    </row>
    <row r="7" spans="1:85" ht="15">
      <c r="A7" s="3" t="s">
        <v>256</v>
      </c>
      <c r="B7" s="4">
        <v>19</v>
      </c>
      <c r="C7" s="4">
        <v>14</v>
      </c>
      <c r="D7" s="4">
        <v>5</v>
      </c>
      <c r="E7" s="4">
        <v>41</v>
      </c>
      <c r="F7" s="4">
        <v>25</v>
      </c>
      <c r="G7" s="4">
        <v>24</v>
      </c>
      <c r="H7" s="144">
        <v>18</v>
      </c>
      <c r="I7" s="144">
        <v>10</v>
      </c>
      <c r="J7" s="145">
        <v>7</v>
      </c>
      <c r="K7" s="161">
        <f t="shared" si="1"/>
        <v>163</v>
      </c>
      <c r="M7" s="3" t="s">
        <v>256</v>
      </c>
      <c r="N7" s="4">
        <v>90</v>
      </c>
      <c r="O7" s="4">
        <v>6</v>
      </c>
      <c r="P7" s="4">
        <v>2</v>
      </c>
      <c r="Q7" s="4">
        <v>1</v>
      </c>
      <c r="R7" s="4">
        <v>1</v>
      </c>
      <c r="S7" s="4">
        <v>0</v>
      </c>
      <c r="T7" s="144">
        <v>3</v>
      </c>
      <c r="U7" s="144">
        <v>41</v>
      </c>
      <c r="V7" s="145">
        <v>19</v>
      </c>
      <c r="W7" s="161">
        <f t="shared" si="0"/>
        <v>163</v>
      </c>
      <c r="Y7" s="3" t="s">
        <v>256</v>
      </c>
      <c r="Z7" s="4">
        <v>112</v>
      </c>
      <c r="AA7" s="4">
        <v>10</v>
      </c>
      <c r="AB7" s="4">
        <v>22</v>
      </c>
      <c r="AC7" s="4">
        <v>11</v>
      </c>
      <c r="AD7" s="4">
        <v>8</v>
      </c>
      <c r="AE7" s="4">
        <v>0</v>
      </c>
      <c r="AF7" s="144">
        <v>0</v>
      </c>
      <c r="AG7" s="144">
        <v>51</v>
      </c>
      <c r="AH7" s="175">
        <f t="shared" si="2"/>
        <v>163</v>
      </c>
      <c r="AJ7" s="3" t="s">
        <v>256</v>
      </c>
      <c r="AK7" s="4">
        <v>132</v>
      </c>
      <c r="AL7" s="4">
        <v>15</v>
      </c>
      <c r="AM7" s="4">
        <v>4</v>
      </c>
      <c r="AN7" s="4">
        <v>12</v>
      </c>
      <c r="AO7" s="4">
        <v>31</v>
      </c>
      <c r="AP7" s="175">
        <f t="shared" si="3"/>
        <v>163</v>
      </c>
      <c r="AQ7" s="178"/>
      <c r="AR7" s="3" t="s">
        <v>255</v>
      </c>
      <c r="AS7" s="4">
        <v>897</v>
      </c>
      <c r="AT7" s="4">
        <v>590</v>
      </c>
      <c r="AU7" s="4">
        <v>75</v>
      </c>
      <c r="AV7" s="4">
        <v>6</v>
      </c>
      <c r="AW7" s="4">
        <v>1</v>
      </c>
      <c r="AX7" s="4">
        <v>16</v>
      </c>
      <c r="AY7" s="144">
        <v>0</v>
      </c>
      <c r="AZ7" s="144">
        <v>207</v>
      </c>
      <c r="BA7" s="145">
        <v>5</v>
      </c>
      <c r="BB7" s="145">
        <v>9</v>
      </c>
      <c r="BC7" s="145">
        <v>5256</v>
      </c>
      <c r="BD7" s="145">
        <v>226</v>
      </c>
      <c r="BE7" s="145">
        <v>353</v>
      </c>
      <c r="BF7" s="145">
        <v>23</v>
      </c>
      <c r="BG7" s="65">
        <f t="shared" si="7"/>
        <v>7664</v>
      </c>
      <c r="BI7" s="3" t="s">
        <v>256</v>
      </c>
      <c r="BJ7" s="4">
        <v>6</v>
      </c>
      <c r="BK7" s="4">
        <v>4</v>
      </c>
      <c r="BL7" s="4">
        <v>4</v>
      </c>
      <c r="BM7" s="4">
        <v>2</v>
      </c>
      <c r="BN7" s="4">
        <v>3</v>
      </c>
      <c r="BO7" s="4">
        <v>13</v>
      </c>
      <c r="BP7" s="144">
        <v>3</v>
      </c>
      <c r="BQ7" s="144">
        <v>1</v>
      </c>
      <c r="BR7" s="144">
        <v>0</v>
      </c>
      <c r="BS7" s="99">
        <v>2</v>
      </c>
      <c r="BT7" s="61">
        <f t="shared" si="4"/>
        <v>38</v>
      </c>
      <c r="BV7" s="3" t="s">
        <v>256</v>
      </c>
      <c r="BW7" s="4">
        <v>17</v>
      </c>
      <c r="BX7" s="4">
        <v>17</v>
      </c>
      <c r="BY7" s="6">
        <f t="shared" si="5"/>
        <v>34</v>
      </c>
      <c r="BZ7" s="178"/>
      <c r="CA7" s="3" t="s">
        <v>256</v>
      </c>
      <c r="CB7" s="4">
        <v>33</v>
      </c>
      <c r="CC7" s="4">
        <v>22</v>
      </c>
      <c r="CD7" s="99">
        <v>3</v>
      </c>
      <c r="CE7" s="105">
        <v>2</v>
      </c>
      <c r="CF7" s="200">
        <f t="shared" si="6"/>
        <v>60</v>
      </c>
      <c r="CG7" s="168"/>
    </row>
    <row r="8" spans="1:85" ht="15">
      <c r="A8" s="3" t="s">
        <v>257</v>
      </c>
      <c r="B8" s="42">
        <v>3924</v>
      </c>
      <c r="C8" s="42">
        <v>1177</v>
      </c>
      <c r="D8" s="4">
        <v>681</v>
      </c>
      <c r="E8" s="4">
        <v>13683</v>
      </c>
      <c r="F8" s="4">
        <v>17200</v>
      </c>
      <c r="G8" s="4">
        <v>5935</v>
      </c>
      <c r="H8" s="144">
        <v>2309</v>
      </c>
      <c r="I8" s="144">
        <v>1390</v>
      </c>
      <c r="J8" s="145">
        <v>1351</v>
      </c>
      <c r="K8" s="161">
        <f t="shared" si="1"/>
        <v>47650</v>
      </c>
      <c r="M8" s="3" t="s">
        <v>257</v>
      </c>
      <c r="N8" s="42">
        <v>29410</v>
      </c>
      <c r="O8" s="42">
        <v>217</v>
      </c>
      <c r="P8" s="4">
        <v>57</v>
      </c>
      <c r="Q8" s="4">
        <v>379</v>
      </c>
      <c r="R8" s="4">
        <v>1355</v>
      </c>
      <c r="S8" s="4">
        <v>8</v>
      </c>
      <c r="T8" s="144">
        <v>191</v>
      </c>
      <c r="U8" s="144">
        <v>12267</v>
      </c>
      <c r="V8" s="145">
        <v>3766</v>
      </c>
      <c r="W8" s="161">
        <f t="shared" si="0"/>
        <v>47650</v>
      </c>
      <c r="Y8" s="3" t="s">
        <v>257</v>
      </c>
      <c r="Z8" s="42">
        <v>5138</v>
      </c>
      <c r="AA8" s="42">
        <v>3914</v>
      </c>
      <c r="AB8" s="4">
        <v>16074</v>
      </c>
      <c r="AC8" s="4">
        <v>17918</v>
      </c>
      <c r="AD8" s="4">
        <v>3854</v>
      </c>
      <c r="AE8" s="4">
        <v>609</v>
      </c>
      <c r="AF8" s="144">
        <v>143</v>
      </c>
      <c r="AG8" s="144">
        <v>42512</v>
      </c>
      <c r="AH8" s="175">
        <f t="shared" si="2"/>
        <v>47650</v>
      </c>
      <c r="AJ8" s="3" t="s">
        <v>257</v>
      </c>
      <c r="AK8" s="42">
        <v>45964</v>
      </c>
      <c r="AL8" s="42">
        <v>1039</v>
      </c>
      <c r="AM8" s="4">
        <v>311</v>
      </c>
      <c r="AN8" s="4">
        <v>336</v>
      </c>
      <c r="AO8" s="4">
        <v>1686</v>
      </c>
      <c r="AP8" s="175">
        <f t="shared" si="3"/>
        <v>47650</v>
      </c>
      <c r="AQ8" s="178"/>
      <c r="AR8" s="3" t="s">
        <v>256</v>
      </c>
      <c r="AS8" s="4">
        <v>11</v>
      </c>
      <c r="AT8" s="4">
        <v>72</v>
      </c>
      <c r="AU8" s="4">
        <v>3</v>
      </c>
      <c r="AV8" s="4">
        <v>1</v>
      </c>
      <c r="AW8" s="4">
        <v>0</v>
      </c>
      <c r="AX8" s="4">
        <v>3</v>
      </c>
      <c r="AY8" s="144">
        <v>0</v>
      </c>
      <c r="AZ8" s="144">
        <v>6</v>
      </c>
      <c r="BA8" s="145">
        <v>0</v>
      </c>
      <c r="BB8" s="145">
        <v>2</v>
      </c>
      <c r="BC8" s="145">
        <v>29</v>
      </c>
      <c r="BD8" s="145">
        <v>2</v>
      </c>
      <c r="BE8" s="145">
        <v>34</v>
      </c>
      <c r="BF8" s="145">
        <v>0</v>
      </c>
      <c r="BG8" s="65">
        <f t="shared" si="7"/>
        <v>163</v>
      </c>
      <c r="BI8" s="3" t="s">
        <v>257</v>
      </c>
      <c r="BJ8" s="42">
        <v>2519</v>
      </c>
      <c r="BK8" s="42">
        <v>1205</v>
      </c>
      <c r="BL8" s="4">
        <v>1323</v>
      </c>
      <c r="BM8" s="4">
        <v>725</v>
      </c>
      <c r="BN8" s="4">
        <v>621</v>
      </c>
      <c r="BO8" s="4">
        <v>788</v>
      </c>
      <c r="BP8" s="144">
        <v>213</v>
      </c>
      <c r="BQ8" s="144">
        <v>212</v>
      </c>
      <c r="BR8" s="144">
        <v>167</v>
      </c>
      <c r="BS8" s="99">
        <v>144</v>
      </c>
      <c r="BT8" s="61">
        <f t="shared" si="4"/>
        <v>7917</v>
      </c>
      <c r="BV8" s="3" t="s">
        <v>257</v>
      </c>
      <c r="BW8" s="42">
        <v>2820</v>
      </c>
      <c r="BX8" s="42">
        <v>2660</v>
      </c>
      <c r="BY8" s="6">
        <f t="shared" si="5"/>
        <v>5480</v>
      </c>
      <c r="BZ8" s="178"/>
      <c r="CA8" s="3" t="s">
        <v>257</v>
      </c>
      <c r="CB8" s="42">
        <v>9195</v>
      </c>
      <c r="CC8" s="42">
        <v>9149</v>
      </c>
      <c r="CD8" s="99">
        <v>652</v>
      </c>
      <c r="CE8" s="105">
        <v>312</v>
      </c>
      <c r="CF8" s="200">
        <f t="shared" si="6"/>
        <v>19308</v>
      </c>
      <c r="CG8" s="168"/>
    </row>
    <row r="9" spans="1:85" ht="15">
      <c r="A9" s="67" t="s">
        <v>258</v>
      </c>
      <c r="B9" s="71">
        <v>4324</v>
      </c>
      <c r="C9" s="71">
        <v>1591</v>
      </c>
      <c r="D9" s="71">
        <v>989</v>
      </c>
      <c r="E9" s="71">
        <v>3487</v>
      </c>
      <c r="F9" s="71">
        <v>2356</v>
      </c>
      <c r="G9" s="71">
        <v>1303</v>
      </c>
      <c r="H9" s="71">
        <v>560</v>
      </c>
      <c r="I9" s="71">
        <v>300</v>
      </c>
      <c r="J9" s="143">
        <v>331</v>
      </c>
      <c r="K9" s="160">
        <f t="shared" si="1"/>
        <v>15241</v>
      </c>
      <c r="M9" s="67" t="s">
        <v>258</v>
      </c>
      <c r="N9" s="71">
        <v>7082</v>
      </c>
      <c r="O9" s="71">
        <v>129</v>
      </c>
      <c r="P9" s="71">
        <v>126</v>
      </c>
      <c r="Q9" s="71">
        <v>48</v>
      </c>
      <c r="R9" s="71">
        <v>1082</v>
      </c>
      <c r="S9" s="71">
        <v>24</v>
      </c>
      <c r="T9" s="71">
        <v>91</v>
      </c>
      <c r="U9" s="71">
        <v>5017</v>
      </c>
      <c r="V9" s="143">
        <v>1642</v>
      </c>
      <c r="W9" s="160">
        <f t="shared" si="0"/>
        <v>15241</v>
      </c>
      <c r="Y9" s="67" t="s">
        <v>258</v>
      </c>
      <c r="Z9" s="71">
        <v>11196</v>
      </c>
      <c r="AA9" s="71">
        <v>1201</v>
      </c>
      <c r="AB9" s="71">
        <v>1212</v>
      </c>
      <c r="AC9" s="71">
        <v>1218</v>
      </c>
      <c r="AD9" s="71">
        <v>342</v>
      </c>
      <c r="AE9" s="71">
        <v>56</v>
      </c>
      <c r="AF9" s="71">
        <v>16</v>
      </c>
      <c r="AG9" s="71">
        <v>4045</v>
      </c>
      <c r="AH9" s="174">
        <f t="shared" si="2"/>
        <v>15241</v>
      </c>
      <c r="AJ9" s="67" t="s">
        <v>258</v>
      </c>
      <c r="AK9" s="71">
        <v>14475</v>
      </c>
      <c r="AL9" s="71">
        <v>523</v>
      </c>
      <c r="AM9" s="71">
        <v>122</v>
      </c>
      <c r="AN9" s="71">
        <v>121</v>
      </c>
      <c r="AO9" s="71">
        <v>766</v>
      </c>
      <c r="AP9" s="174">
        <f t="shared" si="3"/>
        <v>15241</v>
      </c>
      <c r="AQ9" s="178"/>
      <c r="AR9" s="3" t="s">
        <v>257</v>
      </c>
      <c r="AS9" s="42">
        <v>3637</v>
      </c>
      <c r="AT9" s="42">
        <v>2054</v>
      </c>
      <c r="AU9" s="4">
        <v>222</v>
      </c>
      <c r="AV9" s="4">
        <v>11</v>
      </c>
      <c r="AW9" s="4">
        <v>3</v>
      </c>
      <c r="AX9" s="4">
        <v>14</v>
      </c>
      <c r="AY9" s="144">
        <v>2</v>
      </c>
      <c r="AZ9" s="144">
        <v>6</v>
      </c>
      <c r="BA9" s="145">
        <v>0</v>
      </c>
      <c r="BB9" s="145">
        <v>26</v>
      </c>
      <c r="BC9" s="145">
        <v>131</v>
      </c>
      <c r="BD9" s="145">
        <v>44</v>
      </c>
      <c r="BE9" s="145">
        <v>38774</v>
      </c>
      <c r="BF9" s="145">
        <v>2726</v>
      </c>
      <c r="BG9" s="65">
        <f t="shared" si="7"/>
        <v>47650</v>
      </c>
      <c r="BI9" s="67" t="s">
        <v>258</v>
      </c>
      <c r="BJ9" s="71">
        <v>480</v>
      </c>
      <c r="BK9" s="71">
        <v>275</v>
      </c>
      <c r="BL9" s="71">
        <v>353</v>
      </c>
      <c r="BM9" s="71">
        <v>211</v>
      </c>
      <c r="BN9" s="71">
        <v>181</v>
      </c>
      <c r="BO9" s="71">
        <v>277</v>
      </c>
      <c r="BP9" s="71">
        <v>83</v>
      </c>
      <c r="BQ9" s="71">
        <v>59</v>
      </c>
      <c r="BR9" s="71">
        <v>63</v>
      </c>
      <c r="BS9" s="190">
        <v>52</v>
      </c>
      <c r="BT9" s="160">
        <f t="shared" si="4"/>
        <v>2034</v>
      </c>
      <c r="BV9" s="67" t="s">
        <v>258</v>
      </c>
      <c r="BW9" s="71">
        <v>3162</v>
      </c>
      <c r="BX9" s="71">
        <v>3293</v>
      </c>
      <c r="BY9" s="72">
        <f t="shared" si="5"/>
        <v>6455</v>
      </c>
      <c r="BZ9" s="178"/>
      <c r="CA9" s="67" t="s">
        <v>258</v>
      </c>
      <c r="CB9" s="71">
        <v>2309</v>
      </c>
      <c r="CC9" s="71">
        <v>1657</v>
      </c>
      <c r="CD9" s="190">
        <v>107</v>
      </c>
      <c r="CE9" s="71">
        <v>85</v>
      </c>
      <c r="CF9" s="199">
        <f t="shared" si="6"/>
        <v>4158</v>
      </c>
      <c r="CG9" s="168"/>
    </row>
    <row r="10" spans="1:85" ht="15">
      <c r="A10" s="3" t="s">
        <v>259</v>
      </c>
      <c r="B10" s="4">
        <v>1332</v>
      </c>
      <c r="C10" s="4">
        <v>622</v>
      </c>
      <c r="D10" s="4">
        <v>460</v>
      </c>
      <c r="E10" s="4">
        <v>990</v>
      </c>
      <c r="F10" s="4">
        <v>506</v>
      </c>
      <c r="G10" s="4">
        <v>376</v>
      </c>
      <c r="H10" s="144">
        <v>166</v>
      </c>
      <c r="I10" s="144">
        <v>74</v>
      </c>
      <c r="J10" s="145">
        <v>116</v>
      </c>
      <c r="K10" s="161">
        <f t="shared" si="1"/>
        <v>4642</v>
      </c>
      <c r="M10" s="3" t="s">
        <v>259</v>
      </c>
      <c r="N10" s="4">
        <v>2208</v>
      </c>
      <c r="O10" s="4">
        <v>9</v>
      </c>
      <c r="P10" s="4">
        <v>4</v>
      </c>
      <c r="Q10" s="4">
        <v>12</v>
      </c>
      <c r="R10" s="4">
        <v>111</v>
      </c>
      <c r="S10" s="4">
        <v>0</v>
      </c>
      <c r="T10" s="144">
        <v>22</v>
      </c>
      <c r="U10" s="144">
        <v>1784</v>
      </c>
      <c r="V10" s="145">
        <v>492</v>
      </c>
      <c r="W10" s="161">
        <f t="shared" si="0"/>
        <v>4642</v>
      </c>
      <c r="Y10" s="3" t="s">
        <v>259</v>
      </c>
      <c r="Z10" s="4">
        <v>4158</v>
      </c>
      <c r="AA10" s="4">
        <v>123</v>
      </c>
      <c r="AB10" s="4">
        <v>155</v>
      </c>
      <c r="AC10" s="4">
        <v>152</v>
      </c>
      <c r="AD10" s="4">
        <v>46</v>
      </c>
      <c r="AE10" s="4">
        <v>5</v>
      </c>
      <c r="AF10" s="144">
        <v>3</v>
      </c>
      <c r="AG10" s="144">
        <v>484</v>
      </c>
      <c r="AH10" s="175">
        <f t="shared" si="2"/>
        <v>4642</v>
      </c>
      <c r="AJ10" s="3" t="s">
        <v>259</v>
      </c>
      <c r="AK10" s="4">
        <v>4348</v>
      </c>
      <c r="AL10" s="4">
        <v>199</v>
      </c>
      <c r="AM10" s="4">
        <v>48</v>
      </c>
      <c r="AN10" s="4">
        <v>47</v>
      </c>
      <c r="AO10" s="4">
        <v>294</v>
      </c>
      <c r="AP10" s="175">
        <f t="shared" si="3"/>
        <v>4642</v>
      </c>
      <c r="AQ10" s="178"/>
      <c r="AR10" s="67" t="s">
        <v>258</v>
      </c>
      <c r="AS10" s="71">
        <v>5277</v>
      </c>
      <c r="AT10" s="71">
        <v>5657</v>
      </c>
      <c r="AU10" s="71">
        <v>886</v>
      </c>
      <c r="AV10" s="71">
        <v>44</v>
      </c>
      <c r="AW10" s="71">
        <v>6</v>
      </c>
      <c r="AX10" s="71">
        <v>49</v>
      </c>
      <c r="AY10" s="71">
        <v>5</v>
      </c>
      <c r="AZ10" s="71">
        <v>7</v>
      </c>
      <c r="BA10" s="143">
        <v>1</v>
      </c>
      <c r="BB10" s="143">
        <v>39</v>
      </c>
      <c r="BC10" s="143">
        <v>83</v>
      </c>
      <c r="BD10" s="143">
        <v>27</v>
      </c>
      <c r="BE10" s="143">
        <v>2645</v>
      </c>
      <c r="BF10" s="143">
        <v>515</v>
      </c>
      <c r="BG10" s="162">
        <f t="shared" si="7"/>
        <v>15241</v>
      </c>
      <c r="BI10" s="3" t="s">
        <v>259</v>
      </c>
      <c r="BJ10" s="4">
        <v>171</v>
      </c>
      <c r="BK10" s="4">
        <v>107</v>
      </c>
      <c r="BL10" s="4">
        <v>139</v>
      </c>
      <c r="BM10" s="4">
        <v>85</v>
      </c>
      <c r="BN10" s="4">
        <v>83</v>
      </c>
      <c r="BO10" s="4">
        <v>102</v>
      </c>
      <c r="BP10" s="144">
        <v>36</v>
      </c>
      <c r="BQ10" s="144">
        <v>20</v>
      </c>
      <c r="BR10" s="144">
        <v>28</v>
      </c>
      <c r="BS10" s="99">
        <v>22</v>
      </c>
      <c r="BT10" s="61">
        <f t="shared" si="4"/>
        <v>793</v>
      </c>
      <c r="BV10" s="3" t="s">
        <v>259</v>
      </c>
      <c r="BW10" s="4">
        <v>1041</v>
      </c>
      <c r="BX10" s="4">
        <v>1135</v>
      </c>
      <c r="BY10" s="6">
        <f t="shared" si="5"/>
        <v>2176</v>
      </c>
      <c r="BZ10" s="178"/>
      <c r="CA10" s="3" t="s">
        <v>259</v>
      </c>
      <c r="CB10" s="4">
        <v>703</v>
      </c>
      <c r="CC10" s="4">
        <v>480</v>
      </c>
      <c r="CD10" s="99">
        <v>30</v>
      </c>
      <c r="CE10" s="105">
        <v>19</v>
      </c>
      <c r="CF10" s="200">
        <f t="shared" si="6"/>
        <v>1232</v>
      </c>
      <c r="CG10" s="168"/>
    </row>
    <row r="11" spans="1:85" ht="15">
      <c r="A11" s="3" t="s">
        <v>260</v>
      </c>
      <c r="B11" s="4">
        <v>619</v>
      </c>
      <c r="C11" s="4">
        <v>232</v>
      </c>
      <c r="D11" s="4">
        <v>111</v>
      </c>
      <c r="E11" s="4">
        <v>382</v>
      </c>
      <c r="F11" s="4">
        <v>360</v>
      </c>
      <c r="G11" s="4">
        <v>181</v>
      </c>
      <c r="H11" s="144">
        <v>79</v>
      </c>
      <c r="I11" s="144">
        <v>46</v>
      </c>
      <c r="J11" s="145">
        <v>24</v>
      </c>
      <c r="K11" s="161">
        <f t="shared" si="1"/>
        <v>2034</v>
      </c>
      <c r="M11" s="3" t="s">
        <v>260</v>
      </c>
      <c r="N11" s="4">
        <v>1100</v>
      </c>
      <c r="O11" s="4">
        <v>6</v>
      </c>
      <c r="P11" s="4">
        <v>11</v>
      </c>
      <c r="Q11" s="4">
        <v>7</v>
      </c>
      <c r="R11" s="4">
        <v>251</v>
      </c>
      <c r="S11" s="4">
        <v>0</v>
      </c>
      <c r="T11" s="144">
        <v>7</v>
      </c>
      <c r="U11" s="144">
        <v>449</v>
      </c>
      <c r="V11" s="145">
        <v>203</v>
      </c>
      <c r="W11" s="161">
        <f t="shared" si="0"/>
        <v>2034</v>
      </c>
      <c r="Y11" s="3" t="s">
        <v>260</v>
      </c>
      <c r="Z11" s="4">
        <v>1341</v>
      </c>
      <c r="AA11" s="4">
        <v>204</v>
      </c>
      <c r="AB11" s="4">
        <v>215</v>
      </c>
      <c r="AC11" s="4">
        <v>207</v>
      </c>
      <c r="AD11" s="4">
        <v>56</v>
      </c>
      <c r="AE11" s="4">
        <v>11</v>
      </c>
      <c r="AF11" s="144">
        <v>0</v>
      </c>
      <c r="AG11" s="144">
        <v>693</v>
      </c>
      <c r="AH11" s="175">
        <f t="shared" si="2"/>
        <v>2034</v>
      </c>
      <c r="AJ11" s="3" t="s">
        <v>260</v>
      </c>
      <c r="AK11" s="4">
        <v>1943</v>
      </c>
      <c r="AL11" s="4">
        <v>64</v>
      </c>
      <c r="AM11" s="4">
        <v>15</v>
      </c>
      <c r="AN11" s="4">
        <v>12</v>
      </c>
      <c r="AO11" s="4">
        <v>91</v>
      </c>
      <c r="AP11" s="175">
        <f t="shared" si="3"/>
        <v>2034</v>
      </c>
      <c r="AQ11" s="178"/>
      <c r="AR11" s="3" t="s">
        <v>259</v>
      </c>
      <c r="AS11" s="4">
        <v>1335</v>
      </c>
      <c r="AT11" s="4">
        <v>2600</v>
      </c>
      <c r="AU11" s="4">
        <v>338</v>
      </c>
      <c r="AV11" s="4">
        <v>11</v>
      </c>
      <c r="AW11" s="4">
        <v>1</v>
      </c>
      <c r="AX11" s="4">
        <v>4</v>
      </c>
      <c r="AY11" s="144">
        <v>3</v>
      </c>
      <c r="AZ11" s="144">
        <v>1</v>
      </c>
      <c r="BA11" s="145">
        <v>0</v>
      </c>
      <c r="BB11" s="145">
        <v>15</v>
      </c>
      <c r="BC11" s="145">
        <v>9</v>
      </c>
      <c r="BD11" s="145">
        <v>12</v>
      </c>
      <c r="BE11" s="145">
        <v>264</v>
      </c>
      <c r="BF11" s="145">
        <v>49</v>
      </c>
      <c r="BG11" s="65">
        <f t="shared" si="7"/>
        <v>4642</v>
      </c>
      <c r="BI11" s="3" t="s">
        <v>260</v>
      </c>
      <c r="BJ11" s="4">
        <v>79</v>
      </c>
      <c r="BK11" s="4">
        <v>51</v>
      </c>
      <c r="BL11" s="4">
        <v>80</v>
      </c>
      <c r="BM11" s="4">
        <v>47</v>
      </c>
      <c r="BN11" s="4">
        <v>30</v>
      </c>
      <c r="BO11" s="4">
        <v>47</v>
      </c>
      <c r="BP11" s="144">
        <v>11</v>
      </c>
      <c r="BQ11" s="144">
        <v>12</v>
      </c>
      <c r="BR11" s="144">
        <v>6</v>
      </c>
      <c r="BS11" s="99">
        <v>8</v>
      </c>
      <c r="BT11" s="61">
        <f t="shared" si="4"/>
        <v>371</v>
      </c>
      <c r="BV11" s="3" t="s">
        <v>260</v>
      </c>
      <c r="BW11" s="4">
        <v>455</v>
      </c>
      <c r="BX11" s="4">
        <v>474</v>
      </c>
      <c r="BY11" s="6">
        <f t="shared" si="5"/>
        <v>929</v>
      </c>
      <c r="BZ11" s="178"/>
      <c r="CA11" s="3" t="s">
        <v>260</v>
      </c>
      <c r="CB11" s="4">
        <v>318</v>
      </c>
      <c r="CC11" s="4">
        <v>231</v>
      </c>
      <c r="CD11" s="99">
        <v>23</v>
      </c>
      <c r="CE11" s="105">
        <v>16</v>
      </c>
      <c r="CF11" s="200">
        <f t="shared" si="6"/>
        <v>588</v>
      </c>
      <c r="CG11" s="168"/>
    </row>
    <row r="12" spans="1:85" ht="15">
      <c r="A12" s="3" t="s">
        <v>261</v>
      </c>
      <c r="B12" s="4">
        <v>1194</v>
      </c>
      <c r="C12" s="4">
        <v>302</v>
      </c>
      <c r="D12" s="4">
        <v>181</v>
      </c>
      <c r="E12" s="4">
        <v>975</v>
      </c>
      <c r="F12" s="4">
        <v>622</v>
      </c>
      <c r="G12" s="4">
        <v>329</v>
      </c>
      <c r="H12" s="144">
        <v>131</v>
      </c>
      <c r="I12" s="144">
        <v>70</v>
      </c>
      <c r="J12" s="145">
        <v>83</v>
      </c>
      <c r="K12" s="161">
        <f t="shared" si="1"/>
        <v>3887</v>
      </c>
      <c r="M12" s="3" t="s">
        <v>261</v>
      </c>
      <c r="N12" s="4">
        <v>1502</v>
      </c>
      <c r="O12" s="4">
        <v>66</v>
      </c>
      <c r="P12" s="4">
        <v>66</v>
      </c>
      <c r="Q12" s="4">
        <v>10</v>
      </c>
      <c r="R12" s="4">
        <v>312</v>
      </c>
      <c r="S12" s="4">
        <v>21</v>
      </c>
      <c r="T12" s="144">
        <v>24</v>
      </c>
      <c r="U12" s="144">
        <v>1418</v>
      </c>
      <c r="V12" s="145">
        <v>468</v>
      </c>
      <c r="W12" s="161">
        <f t="shared" si="0"/>
        <v>3887</v>
      </c>
      <c r="Y12" s="3" t="s">
        <v>261</v>
      </c>
      <c r="Z12" s="4">
        <v>2844</v>
      </c>
      <c r="AA12" s="4">
        <v>396</v>
      </c>
      <c r="AB12" s="4">
        <v>275</v>
      </c>
      <c r="AC12" s="4">
        <v>272</v>
      </c>
      <c r="AD12" s="4">
        <v>85</v>
      </c>
      <c r="AE12" s="4">
        <v>13</v>
      </c>
      <c r="AF12" s="144">
        <v>2</v>
      </c>
      <c r="AG12" s="144">
        <v>1043</v>
      </c>
      <c r="AH12" s="175">
        <f t="shared" si="2"/>
        <v>3887</v>
      </c>
      <c r="AJ12" s="3" t="s">
        <v>261</v>
      </c>
      <c r="AK12" s="4">
        <v>3728</v>
      </c>
      <c r="AL12" s="4">
        <v>105</v>
      </c>
      <c r="AM12" s="4">
        <v>26</v>
      </c>
      <c r="AN12" s="4">
        <v>28</v>
      </c>
      <c r="AO12" s="4">
        <v>159</v>
      </c>
      <c r="AP12" s="175">
        <f t="shared" si="3"/>
        <v>3887</v>
      </c>
      <c r="AQ12" s="178"/>
      <c r="AR12" s="3" t="s">
        <v>260</v>
      </c>
      <c r="AS12" s="4">
        <v>721</v>
      </c>
      <c r="AT12" s="4">
        <v>640</v>
      </c>
      <c r="AU12" s="4">
        <v>97</v>
      </c>
      <c r="AV12" s="4">
        <v>9</v>
      </c>
      <c r="AW12" s="4">
        <v>1</v>
      </c>
      <c r="AX12" s="4">
        <v>2</v>
      </c>
      <c r="AY12" s="144">
        <v>0</v>
      </c>
      <c r="AZ12" s="144">
        <v>1</v>
      </c>
      <c r="BA12" s="145">
        <v>0</v>
      </c>
      <c r="BB12" s="145">
        <v>2</v>
      </c>
      <c r="BC12" s="145">
        <v>15</v>
      </c>
      <c r="BD12" s="145">
        <v>2</v>
      </c>
      <c r="BE12" s="145">
        <v>499</v>
      </c>
      <c r="BF12" s="145">
        <v>45</v>
      </c>
      <c r="BG12" s="65">
        <f t="shared" si="7"/>
        <v>2034</v>
      </c>
      <c r="BI12" s="3" t="s">
        <v>261</v>
      </c>
      <c r="BJ12" s="4">
        <v>91</v>
      </c>
      <c r="BK12" s="4">
        <v>49</v>
      </c>
      <c r="BL12" s="4">
        <v>42</v>
      </c>
      <c r="BM12" s="4">
        <v>17</v>
      </c>
      <c r="BN12" s="4">
        <v>19</v>
      </c>
      <c r="BO12" s="4">
        <v>50</v>
      </c>
      <c r="BP12" s="144">
        <v>14</v>
      </c>
      <c r="BQ12" s="144">
        <v>5</v>
      </c>
      <c r="BR12" s="144">
        <v>12</v>
      </c>
      <c r="BS12" s="99">
        <v>7</v>
      </c>
      <c r="BT12" s="61">
        <f t="shared" si="4"/>
        <v>306</v>
      </c>
      <c r="BV12" s="3" t="s">
        <v>261</v>
      </c>
      <c r="BW12" s="4">
        <v>792</v>
      </c>
      <c r="BX12" s="4">
        <v>811</v>
      </c>
      <c r="BY12" s="6">
        <f t="shared" si="5"/>
        <v>1603</v>
      </c>
      <c r="BZ12" s="178"/>
      <c r="CA12" s="3" t="s">
        <v>261</v>
      </c>
      <c r="CB12" s="4">
        <v>581</v>
      </c>
      <c r="CC12" s="4">
        <v>403</v>
      </c>
      <c r="CD12" s="99">
        <v>17</v>
      </c>
      <c r="CE12" s="105">
        <v>15</v>
      </c>
      <c r="CF12" s="200">
        <f t="shared" si="6"/>
        <v>1016</v>
      </c>
      <c r="CG12" s="168"/>
    </row>
    <row r="13" spans="1:85" ht="15">
      <c r="A13" s="3" t="s">
        <v>262</v>
      </c>
      <c r="B13" s="4">
        <v>1179</v>
      </c>
      <c r="C13" s="4">
        <v>435</v>
      </c>
      <c r="D13" s="4">
        <v>237</v>
      </c>
      <c r="E13" s="4">
        <v>1140</v>
      </c>
      <c r="F13" s="4">
        <v>868</v>
      </c>
      <c r="G13" s="4">
        <v>471</v>
      </c>
      <c r="H13" s="144">
        <v>184</v>
      </c>
      <c r="I13" s="144">
        <v>110</v>
      </c>
      <c r="J13" s="145">
        <v>108</v>
      </c>
      <c r="K13" s="161">
        <f t="shared" si="1"/>
        <v>4732</v>
      </c>
      <c r="M13" s="3" t="s">
        <v>262</v>
      </c>
      <c r="N13" s="4">
        <v>2272</v>
      </c>
      <c r="O13" s="4">
        <v>48</v>
      </c>
      <c r="P13" s="4">
        <v>45</v>
      </c>
      <c r="Q13" s="4">
        <v>19</v>
      </c>
      <c r="R13" s="4">
        <v>408</v>
      </c>
      <c r="S13" s="4">
        <v>3</v>
      </c>
      <c r="T13" s="144">
        <v>38</v>
      </c>
      <c r="U13" s="144">
        <v>1366</v>
      </c>
      <c r="V13" s="145">
        <v>479</v>
      </c>
      <c r="W13" s="161">
        <f t="shared" si="0"/>
        <v>4678</v>
      </c>
      <c r="Y13" s="3" t="s">
        <v>262</v>
      </c>
      <c r="Z13" s="4">
        <v>2853</v>
      </c>
      <c r="AA13" s="4">
        <v>478</v>
      </c>
      <c r="AB13" s="4">
        <v>567</v>
      </c>
      <c r="AC13" s="4">
        <v>587</v>
      </c>
      <c r="AD13" s="4">
        <v>155</v>
      </c>
      <c r="AE13" s="4">
        <v>27</v>
      </c>
      <c r="AF13" s="144">
        <v>11</v>
      </c>
      <c r="AG13" s="144">
        <v>1825</v>
      </c>
      <c r="AH13" s="175">
        <f t="shared" si="2"/>
        <v>4678</v>
      </c>
      <c r="AJ13" s="3" t="s">
        <v>262</v>
      </c>
      <c r="AK13" s="4">
        <v>4456</v>
      </c>
      <c r="AL13" s="4">
        <v>155</v>
      </c>
      <c r="AM13" s="4">
        <v>33</v>
      </c>
      <c r="AN13" s="4">
        <v>34</v>
      </c>
      <c r="AO13" s="4">
        <v>222</v>
      </c>
      <c r="AP13" s="175">
        <f t="shared" si="3"/>
        <v>4678</v>
      </c>
      <c r="AQ13" s="178"/>
      <c r="AR13" s="3" t="s">
        <v>261</v>
      </c>
      <c r="AS13" s="4">
        <v>1571</v>
      </c>
      <c r="AT13" s="4">
        <v>1232</v>
      </c>
      <c r="AU13" s="4">
        <v>240</v>
      </c>
      <c r="AV13" s="4">
        <v>2</v>
      </c>
      <c r="AW13" s="4">
        <v>2</v>
      </c>
      <c r="AX13" s="4">
        <v>21</v>
      </c>
      <c r="AY13" s="144">
        <v>0</v>
      </c>
      <c r="AZ13" s="144">
        <v>1</v>
      </c>
      <c r="BA13" s="145">
        <v>1</v>
      </c>
      <c r="BB13" s="145">
        <v>13</v>
      </c>
      <c r="BC13" s="145">
        <v>31</v>
      </c>
      <c r="BD13" s="145">
        <v>3</v>
      </c>
      <c r="BE13" s="145">
        <v>621</v>
      </c>
      <c r="BF13" s="145">
        <v>149</v>
      </c>
      <c r="BG13" s="65">
        <f t="shared" si="7"/>
        <v>3887</v>
      </c>
      <c r="BI13" s="3" t="s">
        <v>262</v>
      </c>
      <c r="BJ13" s="4">
        <v>139</v>
      </c>
      <c r="BK13" s="4">
        <v>68</v>
      </c>
      <c r="BL13" s="4">
        <v>92</v>
      </c>
      <c r="BM13" s="4">
        <v>62</v>
      </c>
      <c r="BN13" s="4">
        <v>49</v>
      </c>
      <c r="BO13" s="4">
        <v>78</v>
      </c>
      <c r="BP13" s="144">
        <v>22</v>
      </c>
      <c r="BQ13" s="144">
        <v>22</v>
      </c>
      <c r="BR13" s="144">
        <v>17</v>
      </c>
      <c r="BS13" s="99">
        <v>15</v>
      </c>
      <c r="BT13" s="61">
        <f t="shared" si="4"/>
        <v>564</v>
      </c>
      <c r="BV13" s="3" t="s">
        <v>262</v>
      </c>
      <c r="BW13" s="4">
        <v>874</v>
      </c>
      <c r="BX13" s="4">
        <v>873</v>
      </c>
      <c r="BY13" s="6">
        <f t="shared" si="5"/>
        <v>1747</v>
      </c>
      <c r="BZ13" s="178"/>
      <c r="CA13" s="3" t="s">
        <v>262</v>
      </c>
      <c r="CB13" s="4">
        <v>707</v>
      </c>
      <c r="CC13" s="4">
        <v>543</v>
      </c>
      <c r="CD13" s="99">
        <v>37</v>
      </c>
      <c r="CE13" s="105">
        <v>35</v>
      </c>
      <c r="CF13" s="200">
        <f t="shared" si="6"/>
        <v>1322</v>
      </c>
      <c r="CG13" s="168"/>
    </row>
    <row r="14" spans="1:85" ht="15">
      <c r="A14" s="67" t="s">
        <v>133</v>
      </c>
      <c r="B14" s="71">
        <v>4050</v>
      </c>
      <c r="C14" s="71">
        <v>2149</v>
      </c>
      <c r="D14" s="71">
        <v>1595</v>
      </c>
      <c r="E14" s="71">
        <v>7049</v>
      </c>
      <c r="F14" s="71">
        <v>7036</v>
      </c>
      <c r="G14" s="71">
        <v>4427</v>
      </c>
      <c r="H14" s="71">
        <v>3046</v>
      </c>
      <c r="I14" s="71">
        <v>2139</v>
      </c>
      <c r="J14" s="143">
        <v>1847</v>
      </c>
      <c r="K14" s="160">
        <v>33338</v>
      </c>
      <c r="M14" s="67" t="s">
        <v>133</v>
      </c>
      <c r="N14" s="71">
        <v>5681</v>
      </c>
      <c r="O14" s="71">
        <v>1597</v>
      </c>
      <c r="P14" s="71">
        <v>6037</v>
      </c>
      <c r="Q14" s="71">
        <v>14</v>
      </c>
      <c r="R14" s="71">
        <v>13230</v>
      </c>
      <c r="S14" s="71">
        <v>687</v>
      </c>
      <c r="T14" s="71">
        <v>196</v>
      </c>
      <c r="U14" s="71">
        <v>3799</v>
      </c>
      <c r="V14" s="143">
        <v>2097</v>
      </c>
      <c r="W14" s="160">
        <f>N14+V14+U14+T14+S14+R14+Q14+P14+O14</f>
        <v>33338</v>
      </c>
      <c r="Y14" s="67" t="s">
        <v>133</v>
      </c>
      <c r="Z14" s="71">
        <v>10582</v>
      </c>
      <c r="AA14" s="71">
        <v>5613</v>
      </c>
      <c r="AB14" s="71">
        <v>6489</v>
      </c>
      <c r="AC14" s="71">
        <v>6743</v>
      </c>
      <c r="AD14" s="71">
        <v>3172</v>
      </c>
      <c r="AE14" s="71">
        <v>568</v>
      </c>
      <c r="AF14" s="71">
        <v>171</v>
      </c>
      <c r="AG14" s="71">
        <v>22756</v>
      </c>
      <c r="AH14" s="174">
        <f t="shared" si="2"/>
        <v>33338</v>
      </c>
      <c r="AJ14" s="67" t="s">
        <v>133</v>
      </c>
      <c r="AK14" s="71">
        <v>30326</v>
      </c>
      <c r="AL14" s="71">
        <v>1794</v>
      </c>
      <c r="AM14" s="71">
        <v>571</v>
      </c>
      <c r="AN14" s="71">
        <v>647</v>
      </c>
      <c r="AO14" s="71">
        <v>3012</v>
      </c>
      <c r="AP14" s="174">
        <f t="shared" si="3"/>
        <v>33338</v>
      </c>
      <c r="AQ14" s="178"/>
      <c r="AR14" s="3" t="s">
        <v>262</v>
      </c>
      <c r="AS14" s="4">
        <v>1650</v>
      </c>
      <c r="AT14" s="4">
        <v>1185</v>
      </c>
      <c r="AU14" s="4">
        <v>211</v>
      </c>
      <c r="AV14" s="4">
        <v>22</v>
      </c>
      <c r="AW14" s="4">
        <v>2</v>
      </c>
      <c r="AX14" s="4">
        <v>22</v>
      </c>
      <c r="AY14" s="144">
        <v>2</v>
      </c>
      <c r="AZ14" s="144">
        <v>4</v>
      </c>
      <c r="BA14" s="145">
        <v>0</v>
      </c>
      <c r="BB14" s="145">
        <v>9</v>
      </c>
      <c r="BC14" s="145">
        <v>28</v>
      </c>
      <c r="BD14" s="145">
        <v>10</v>
      </c>
      <c r="BE14" s="145">
        <v>1261</v>
      </c>
      <c r="BF14" s="145">
        <v>272</v>
      </c>
      <c r="BG14" s="65">
        <f t="shared" si="7"/>
        <v>4678</v>
      </c>
      <c r="BI14" s="67" t="s">
        <v>133</v>
      </c>
      <c r="BJ14" s="71">
        <v>1592</v>
      </c>
      <c r="BK14" s="71">
        <v>1002</v>
      </c>
      <c r="BL14" s="71">
        <v>1270</v>
      </c>
      <c r="BM14" s="71">
        <v>778</v>
      </c>
      <c r="BN14" s="71">
        <v>750</v>
      </c>
      <c r="BO14" s="71">
        <v>1159</v>
      </c>
      <c r="BP14" s="71">
        <v>378</v>
      </c>
      <c r="BQ14" s="71">
        <v>352</v>
      </c>
      <c r="BR14" s="71">
        <v>370</v>
      </c>
      <c r="BS14" s="190">
        <v>294</v>
      </c>
      <c r="BT14" s="160">
        <f t="shared" si="4"/>
        <v>7945</v>
      </c>
      <c r="BV14" s="67" t="s">
        <v>133</v>
      </c>
      <c r="BW14" s="71">
        <v>3641</v>
      </c>
      <c r="BX14" s="71">
        <v>3530</v>
      </c>
      <c r="BY14" s="72">
        <f t="shared" si="5"/>
        <v>7171</v>
      </c>
      <c r="BZ14" s="178"/>
      <c r="CA14" s="67" t="s">
        <v>133</v>
      </c>
      <c r="CB14" s="71">
        <v>4954</v>
      </c>
      <c r="CC14" s="71">
        <v>4998</v>
      </c>
      <c r="CD14" s="190">
        <v>918</v>
      </c>
      <c r="CE14" s="71">
        <v>412</v>
      </c>
      <c r="CF14" s="199">
        <f t="shared" si="6"/>
        <v>11282</v>
      </c>
      <c r="CG14" s="168"/>
    </row>
    <row r="15" spans="1:85" ht="15">
      <c r="A15" s="3" t="s">
        <v>263</v>
      </c>
      <c r="B15" s="42">
        <v>593</v>
      </c>
      <c r="C15" s="42">
        <v>312</v>
      </c>
      <c r="D15" s="4">
        <v>301</v>
      </c>
      <c r="E15" s="4">
        <v>1958</v>
      </c>
      <c r="F15" s="4">
        <v>1953</v>
      </c>
      <c r="G15" s="4">
        <v>1012</v>
      </c>
      <c r="H15" s="144">
        <v>938</v>
      </c>
      <c r="I15" s="144">
        <v>741</v>
      </c>
      <c r="J15" s="145">
        <v>834</v>
      </c>
      <c r="K15" s="161">
        <f t="shared" si="1"/>
        <v>8642</v>
      </c>
      <c r="M15" s="3" t="s">
        <v>263</v>
      </c>
      <c r="N15" s="42">
        <v>1121</v>
      </c>
      <c r="O15" s="42">
        <v>21</v>
      </c>
      <c r="P15" s="4">
        <v>4340</v>
      </c>
      <c r="Q15" s="4">
        <v>2</v>
      </c>
      <c r="R15" s="4">
        <v>1262</v>
      </c>
      <c r="S15" s="4">
        <v>585</v>
      </c>
      <c r="T15" s="144">
        <v>122</v>
      </c>
      <c r="U15" s="144">
        <v>651</v>
      </c>
      <c r="V15" s="145">
        <v>538</v>
      </c>
      <c r="W15" s="161">
        <f aca="true" t="shared" si="8" ref="W15:W26">SUM(N15:V15)</f>
        <v>8642</v>
      </c>
      <c r="Y15" s="3" t="s">
        <v>263</v>
      </c>
      <c r="Z15" s="42">
        <v>3230</v>
      </c>
      <c r="AA15" s="42">
        <v>1220</v>
      </c>
      <c r="AB15" s="4">
        <v>1682</v>
      </c>
      <c r="AC15" s="4">
        <v>1648</v>
      </c>
      <c r="AD15" s="4">
        <v>681</v>
      </c>
      <c r="AE15" s="4">
        <v>142</v>
      </c>
      <c r="AF15" s="144">
        <v>39</v>
      </c>
      <c r="AG15" s="144">
        <v>5412</v>
      </c>
      <c r="AH15" s="175">
        <f t="shared" si="2"/>
        <v>8642</v>
      </c>
      <c r="AJ15" s="3" t="s">
        <v>263</v>
      </c>
      <c r="AK15" s="42">
        <v>7636</v>
      </c>
      <c r="AL15" s="42">
        <v>639</v>
      </c>
      <c r="AM15" s="4">
        <v>177</v>
      </c>
      <c r="AN15" s="4">
        <v>190</v>
      </c>
      <c r="AO15" s="4">
        <v>1006</v>
      </c>
      <c r="AP15" s="175">
        <f t="shared" si="3"/>
        <v>8642</v>
      </c>
      <c r="AQ15" s="178"/>
      <c r="AR15" s="67" t="s">
        <v>133</v>
      </c>
      <c r="AS15" s="71">
        <v>16967</v>
      </c>
      <c r="AT15" s="71">
        <v>3061</v>
      </c>
      <c r="AU15" s="71">
        <v>766</v>
      </c>
      <c r="AV15" s="71">
        <v>14</v>
      </c>
      <c r="AW15" s="71">
        <v>9</v>
      </c>
      <c r="AX15" s="71">
        <v>31</v>
      </c>
      <c r="AY15" s="71">
        <v>9</v>
      </c>
      <c r="AZ15" s="71">
        <v>15</v>
      </c>
      <c r="BA15" s="143">
        <v>4</v>
      </c>
      <c r="BB15" s="143">
        <v>42</v>
      </c>
      <c r="BC15" s="143">
        <v>39</v>
      </c>
      <c r="BD15" s="143">
        <v>5</v>
      </c>
      <c r="BE15" s="143">
        <v>11279</v>
      </c>
      <c r="BF15" s="143">
        <v>1097</v>
      </c>
      <c r="BG15" s="162">
        <f t="shared" si="7"/>
        <v>33338</v>
      </c>
      <c r="BI15" s="3" t="s">
        <v>263</v>
      </c>
      <c r="BJ15" s="42">
        <v>337</v>
      </c>
      <c r="BK15" s="42">
        <v>163</v>
      </c>
      <c r="BL15" s="4">
        <v>205</v>
      </c>
      <c r="BM15" s="4">
        <v>115</v>
      </c>
      <c r="BN15" s="4">
        <v>126</v>
      </c>
      <c r="BO15" s="4">
        <v>177</v>
      </c>
      <c r="BP15" s="144">
        <v>64</v>
      </c>
      <c r="BQ15" s="144">
        <v>73</v>
      </c>
      <c r="BR15" s="144">
        <v>58</v>
      </c>
      <c r="BS15" s="99">
        <v>47</v>
      </c>
      <c r="BT15" s="61">
        <f t="shared" si="4"/>
        <v>1365</v>
      </c>
      <c r="BV15" s="3" t="s">
        <v>263</v>
      </c>
      <c r="BW15" s="42">
        <v>531</v>
      </c>
      <c r="BX15" s="42">
        <v>532</v>
      </c>
      <c r="BY15" s="6">
        <f t="shared" si="5"/>
        <v>1063</v>
      </c>
      <c r="BZ15" s="178"/>
      <c r="CA15" s="3" t="s">
        <v>263</v>
      </c>
      <c r="CB15" s="42">
        <v>1769</v>
      </c>
      <c r="CC15" s="42">
        <v>1299</v>
      </c>
      <c r="CD15" s="99">
        <v>143</v>
      </c>
      <c r="CE15" s="105">
        <v>71</v>
      </c>
      <c r="CF15" s="200">
        <f t="shared" si="6"/>
        <v>3282</v>
      </c>
      <c r="CG15" s="168"/>
    </row>
    <row r="16" spans="1:85" ht="15">
      <c r="A16" s="3" t="s">
        <v>264</v>
      </c>
      <c r="B16" s="42">
        <v>1810</v>
      </c>
      <c r="C16" s="42">
        <v>980</v>
      </c>
      <c r="D16" s="4">
        <v>637</v>
      </c>
      <c r="E16" s="4">
        <v>1835</v>
      </c>
      <c r="F16" s="4">
        <v>1626</v>
      </c>
      <c r="G16" s="4">
        <v>1244</v>
      </c>
      <c r="H16" s="144">
        <v>732</v>
      </c>
      <c r="I16" s="144">
        <v>463</v>
      </c>
      <c r="J16" s="145">
        <v>391</v>
      </c>
      <c r="K16" s="161">
        <f t="shared" si="1"/>
        <v>9718</v>
      </c>
      <c r="M16" s="3" t="s">
        <v>264</v>
      </c>
      <c r="N16" s="42">
        <v>192</v>
      </c>
      <c r="O16" s="42">
        <v>12</v>
      </c>
      <c r="P16" s="4">
        <v>46</v>
      </c>
      <c r="Q16" s="4">
        <v>3</v>
      </c>
      <c r="R16" s="4">
        <v>8774</v>
      </c>
      <c r="S16" s="4">
        <v>9</v>
      </c>
      <c r="T16" s="144">
        <v>6</v>
      </c>
      <c r="U16" s="144">
        <v>172</v>
      </c>
      <c r="V16" s="145">
        <v>504</v>
      </c>
      <c r="W16" s="161">
        <f t="shared" si="8"/>
        <v>9718</v>
      </c>
      <c r="Y16" s="3" t="s">
        <v>264</v>
      </c>
      <c r="Z16" s="42">
        <v>3221</v>
      </c>
      <c r="AA16" s="42">
        <v>2107</v>
      </c>
      <c r="AB16" s="4">
        <v>1650</v>
      </c>
      <c r="AC16" s="4">
        <v>1548</v>
      </c>
      <c r="AD16" s="4">
        <v>946</v>
      </c>
      <c r="AE16" s="4">
        <v>187</v>
      </c>
      <c r="AF16" s="144">
        <v>59</v>
      </c>
      <c r="AG16" s="144">
        <v>6497</v>
      </c>
      <c r="AH16" s="175">
        <f t="shared" si="2"/>
        <v>9718</v>
      </c>
      <c r="AJ16" s="3" t="s">
        <v>264</v>
      </c>
      <c r="AK16" s="42">
        <v>8721</v>
      </c>
      <c r="AL16" s="42">
        <v>559</v>
      </c>
      <c r="AM16" s="4">
        <v>214</v>
      </c>
      <c r="AN16" s="4">
        <v>224</v>
      </c>
      <c r="AO16" s="4">
        <v>997</v>
      </c>
      <c r="AP16" s="175">
        <f t="shared" si="3"/>
        <v>9718</v>
      </c>
      <c r="AQ16" s="178"/>
      <c r="AR16" s="3" t="s">
        <v>263</v>
      </c>
      <c r="AS16" s="42">
        <v>5077</v>
      </c>
      <c r="AT16" s="42">
        <v>958</v>
      </c>
      <c r="AU16" s="4">
        <v>272</v>
      </c>
      <c r="AV16" s="4">
        <v>6</v>
      </c>
      <c r="AW16" s="4">
        <v>2</v>
      </c>
      <c r="AX16" s="4">
        <v>6</v>
      </c>
      <c r="AY16" s="144">
        <v>3</v>
      </c>
      <c r="AZ16" s="144">
        <v>7</v>
      </c>
      <c r="BA16" s="145">
        <v>1</v>
      </c>
      <c r="BB16" s="145">
        <v>12</v>
      </c>
      <c r="BC16" s="145">
        <v>5</v>
      </c>
      <c r="BD16" s="145">
        <v>2</v>
      </c>
      <c r="BE16" s="145">
        <v>2105</v>
      </c>
      <c r="BF16" s="145">
        <v>186</v>
      </c>
      <c r="BG16" s="65">
        <f t="shared" si="7"/>
        <v>8642</v>
      </c>
      <c r="BI16" s="3" t="s">
        <v>264</v>
      </c>
      <c r="BJ16" s="42">
        <v>607</v>
      </c>
      <c r="BK16" s="42">
        <v>422</v>
      </c>
      <c r="BL16" s="4">
        <v>541</v>
      </c>
      <c r="BM16" s="4">
        <v>365</v>
      </c>
      <c r="BN16" s="4">
        <v>336</v>
      </c>
      <c r="BO16" s="4">
        <v>539</v>
      </c>
      <c r="BP16" s="144">
        <v>164</v>
      </c>
      <c r="BQ16" s="144">
        <v>146</v>
      </c>
      <c r="BR16" s="144">
        <v>170</v>
      </c>
      <c r="BS16" s="99">
        <v>126</v>
      </c>
      <c r="BT16" s="61">
        <f t="shared" si="4"/>
        <v>3416</v>
      </c>
      <c r="BV16" s="3" t="s">
        <v>264</v>
      </c>
      <c r="BW16" s="42">
        <v>1655</v>
      </c>
      <c r="BX16" s="42">
        <v>1563</v>
      </c>
      <c r="BY16" s="6">
        <f t="shared" si="5"/>
        <v>3218</v>
      </c>
      <c r="BZ16" s="178"/>
      <c r="CA16" s="3" t="s">
        <v>264</v>
      </c>
      <c r="CB16" s="42">
        <v>758</v>
      </c>
      <c r="CC16" s="42">
        <v>1372</v>
      </c>
      <c r="CD16" s="99">
        <v>425</v>
      </c>
      <c r="CE16" s="105">
        <v>140</v>
      </c>
      <c r="CF16" s="200">
        <f t="shared" si="6"/>
        <v>2695</v>
      </c>
      <c r="CG16" s="168"/>
    </row>
    <row r="17" spans="1:85" ht="15">
      <c r="A17" s="3" t="s">
        <v>265</v>
      </c>
      <c r="B17" s="42">
        <v>228</v>
      </c>
      <c r="C17" s="42">
        <v>132</v>
      </c>
      <c r="D17" s="4">
        <v>99</v>
      </c>
      <c r="E17" s="4">
        <v>320</v>
      </c>
      <c r="F17" s="4">
        <v>299</v>
      </c>
      <c r="G17" s="4">
        <v>184</v>
      </c>
      <c r="H17" s="144">
        <v>91</v>
      </c>
      <c r="I17" s="144">
        <v>74</v>
      </c>
      <c r="J17" s="145">
        <v>66</v>
      </c>
      <c r="K17" s="161">
        <f t="shared" si="1"/>
        <v>1493</v>
      </c>
      <c r="M17" s="3" t="s">
        <v>265</v>
      </c>
      <c r="N17" s="42">
        <v>34</v>
      </c>
      <c r="O17" s="42">
        <v>1</v>
      </c>
      <c r="P17" s="4">
        <v>18</v>
      </c>
      <c r="Q17" s="4">
        <v>4</v>
      </c>
      <c r="R17" s="4">
        <v>1248</v>
      </c>
      <c r="S17" s="4">
        <v>0</v>
      </c>
      <c r="T17" s="144">
        <v>8</v>
      </c>
      <c r="U17" s="144">
        <v>86</v>
      </c>
      <c r="V17" s="145">
        <v>94</v>
      </c>
      <c r="W17" s="161">
        <f t="shared" si="8"/>
        <v>1493</v>
      </c>
      <c r="Y17" s="3" t="s">
        <v>265</v>
      </c>
      <c r="Z17" s="42">
        <v>715</v>
      </c>
      <c r="AA17" s="42">
        <v>229</v>
      </c>
      <c r="AB17" s="4">
        <v>295</v>
      </c>
      <c r="AC17" s="4">
        <v>174</v>
      </c>
      <c r="AD17" s="4">
        <v>65</v>
      </c>
      <c r="AE17" s="4">
        <v>10</v>
      </c>
      <c r="AF17" s="144">
        <v>5</v>
      </c>
      <c r="AG17" s="144">
        <v>778</v>
      </c>
      <c r="AH17" s="175">
        <f t="shared" si="2"/>
        <v>1493</v>
      </c>
      <c r="AJ17" s="3" t="s">
        <v>265</v>
      </c>
      <c r="AK17" s="42">
        <v>1352</v>
      </c>
      <c r="AL17" s="42">
        <v>80</v>
      </c>
      <c r="AM17" s="4">
        <v>21</v>
      </c>
      <c r="AN17" s="4">
        <v>40</v>
      </c>
      <c r="AO17" s="4">
        <v>141</v>
      </c>
      <c r="AP17" s="175">
        <f t="shared" si="3"/>
        <v>1493</v>
      </c>
      <c r="AQ17" s="178"/>
      <c r="AR17" s="3" t="s">
        <v>264</v>
      </c>
      <c r="AS17" s="42">
        <v>5019</v>
      </c>
      <c r="AT17" s="42">
        <v>814</v>
      </c>
      <c r="AU17" s="4">
        <v>211</v>
      </c>
      <c r="AV17" s="4">
        <v>2</v>
      </c>
      <c r="AW17" s="4">
        <v>0</v>
      </c>
      <c r="AX17" s="4">
        <v>8</v>
      </c>
      <c r="AY17" s="144">
        <v>4</v>
      </c>
      <c r="AZ17" s="144">
        <v>0</v>
      </c>
      <c r="BA17" s="145">
        <v>1</v>
      </c>
      <c r="BB17" s="145">
        <v>7</v>
      </c>
      <c r="BC17" s="145">
        <v>15</v>
      </c>
      <c r="BD17" s="145">
        <v>0</v>
      </c>
      <c r="BE17" s="145">
        <v>3335</v>
      </c>
      <c r="BF17" s="145">
        <v>302</v>
      </c>
      <c r="BG17" s="65">
        <f t="shared" si="7"/>
        <v>9718</v>
      </c>
      <c r="BI17" s="3" t="s">
        <v>265</v>
      </c>
      <c r="BJ17" s="42">
        <v>78</v>
      </c>
      <c r="BK17" s="42">
        <v>55</v>
      </c>
      <c r="BL17" s="4">
        <v>79</v>
      </c>
      <c r="BM17" s="4">
        <v>54</v>
      </c>
      <c r="BN17" s="4">
        <v>40</v>
      </c>
      <c r="BO17" s="4">
        <v>72</v>
      </c>
      <c r="BP17" s="144">
        <v>24</v>
      </c>
      <c r="BQ17" s="144">
        <v>31</v>
      </c>
      <c r="BR17" s="144">
        <v>17</v>
      </c>
      <c r="BS17" s="99">
        <v>20</v>
      </c>
      <c r="BT17" s="61">
        <f t="shared" si="4"/>
        <v>470</v>
      </c>
      <c r="BV17" s="3" t="s">
        <v>265</v>
      </c>
      <c r="BW17" s="42">
        <v>208</v>
      </c>
      <c r="BX17" s="42">
        <v>212</v>
      </c>
      <c r="BY17" s="6">
        <f t="shared" si="5"/>
        <v>420</v>
      </c>
      <c r="BZ17" s="178"/>
      <c r="CA17" s="3" t="s">
        <v>265</v>
      </c>
      <c r="CB17" s="42">
        <v>156</v>
      </c>
      <c r="CC17" s="42">
        <v>208</v>
      </c>
      <c r="CD17" s="99">
        <v>52</v>
      </c>
      <c r="CE17" s="105">
        <v>23</v>
      </c>
      <c r="CF17" s="200">
        <f t="shared" si="6"/>
        <v>439</v>
      </c>
      <c r="CG17" s="168"/>
    </row>
    <row r="18" spans="1:85" ht="15">
      <c r="A18" s="3" t="s">
        <v>266</v>
      </c>
      <c r="B18" s="42">
        <v>202</v>
      </c>
      <c r="C18" s="42">
        <v>118</v>
      </c>
      <c r="D18" s="4">
        <v>105</v>
      </c>
      <c r="E18" s="4">
        <v>1134</v>
      </c>
      <c r="F18" s="4">
        <v>932</v>
      </c>
      <c r="G18" s="4">
        <v>500</v>
      </c>
      <c r="H18" s="144">
        <v>342</v>
      </c>
      <c r="I18" s="144">
        <v>205</v>
      </c>
      <c r="J18" s="145">
        <v>177</v>
      </c>
      <c r="K18" s="161">
        <f t="shared" si="1"/>
        <v>3715</v>
      </c>
      <c r="M18" s="3" t="s">
        <v>266</v>
      </c>
      <c r="N18" s="42">
        <v>979</v>
      </c>
      <c r="O18" s="42">
        <v>459</v>
      </c>
      <c r="P18" s="4">
        <v>8</v>
      </c>
      <c r="Q18" s="4">
        <v>0</v>
      </c>
      <c r="R18" s="4">
        <v>70</v>
      </c>
      <c r="S18" s="4">
        <v>1</v>
      </c>
      <c r="T18" s="144">
        <v>25</v>
      </c>
      <c r="U18" s="144">
        <v>1831</v>
      </c>
      <c r="V18" s="145">
        <v>342</v>
      </c>
      <c r="W18" s="161">
        <f t="shared" si="8"/>
        <v>3715</v>
      </c>
      <c r="Y18" s="3" t="s">
        <v>266</v>
      </c>
      <c r="Z18" s="42">
        <v>1036</v>
      </c>
      <c r="AA18" s="42">
        <v>506</v>
      </c>
      <c r="AB18" s="4">
        <v>987</v>
      </c>
      <c r="AC18" s="4">
        <v>831</v>
      </c>
      <c r="AD18" s="4">
        <v>283</v>
      </c>
      <c r="AE18" s="4">
        <v>53</v>
      </c>
      <c r="AF18" s="144">
        <v>19</v>
      </c>
      <c r="AG18" s="144">
        <v>2679</v>
      </c>
      <c r="AH18" s="175">
        <f t="shared" si="2"/>
        <v>3715</v>
      </c>
      <c r="AJ18" s="3" t="s">
        <v>266</v>
      </c>
      <c r="AK18" s="42">
        <v>3521</v>
      </c>
      <c r="AL18" s="42">
        <v>141</v>
      </c>
      <c r="AM18" s="4">
        <v>27</v>
      </c>
      <c r="AN18" s="4">
        <v>26</v>
      </c>
      <c r="AO18" s="4">
        <v>194</v>
      </c>
      <c r="AP18" s="175">
        <f t="shared" si="3"/>
        <v>3715</v>
      </c>
      <c r="AQ18" s="178"/>
      <c r="AR18" s="3" t="s">
        <v>265</v>
      </c>
      <c r="AS18" s="42">
        <v>1005</v>
      </c>
      <c r="AT18" s="42">
        <v>147</v>
      </c>
      <c r="AU18" s="4">
        <v>32</v>
      </c>
      <c r="AV18" s="4">
        <v>0</v>
      </c>
      <c r="AW18" s="4">
        <v>4</v>
      </c>
      <c r="AX18" s="4">
        <v>0</v>
      </c>
      <c r="AY18" s="144">
        <v>1</v>
      </c>
      <c r="AZ18" s="144">
        <v>0</v>
      </c>
      <c r="BA18" s="145">
        <v>0</v>
      </c>
      <c r="BB18" s="145">
        <v>2</v>
      </c>
      <c r="BC18" s="145">
        <v>2</v>
      </c>
      <c r="BD18" s="145">
        <v>0</v>
      </c>
      <c r="BE18" s="145">
        <v>255</v>
      </c>
      <c r="BF18" s="145">
        <v>45</v>
      </c>
      <c r="BG18" s="65">
        <f t="shared" si="7"/>
        <v>1493</v>
      </c>
      <c r="BI18" s="3" t="s">
        <v>266</v>
      </c>
      <c r="BJ18" s="42">
        <v>146</v>
      </c>
      <c r="BK18" s="42">
        <v>53</v>
      </c>
      <c r="BL18" s="4">
        <v>60</v>
      </c>
      <c r="BM18" s="4">
        <v>43</v>
      </c>
      <c r="BN18" s="4">
        <v>43</v>
      </c>
      <c r="BO18" s="4">
        <v>62</v>
      </c>
      <c r="BP18" s="144">
        <v>23</v>
      </c>
      <c r="BQ18" s="144">
        <v>19</v>
      </c>
      <c r="BR18" s="144">
        <v>26</v>
      </c>
      <c r="BS18" s="99">
        <v>20</v>
      </c>
      <c r="BT18" s="61">
        <f t="shared" si="4"/>
        <v>495</v>
      </c>
      <c r="BV18" s="3" t="s">
        <v>266</v>
      </c>
      <c r="BW18" s="42">
        <v>176</v>
      </c>
      <c r="BX18" s="42">
        <v>199</v>
      </c>
      <c r="BY18" s="6">
        <f t="shared" si="5"/>
        <v>375</v>
      </c>
      <c r="BZ18" s="178"/>
      <c r="CA18" s="3" t="s">
        <v>266</v>
      </c>
      <c r="CB18" s="42">
        <v>852</v>
      </c>
      <c r="CC18" s="42">
        <v>616</v>
      </c>
      <c r="CD18" s="99">
        <v>42</v>
      </c>
      <c r="CE18" s="105">
        <v>28</v>
      </c>
      <c r="CF18" s="200">
        <f t="shared" si="6"/>
        <v>1538</v>
      </c>
      <c r="CG18" s="168"/>
    </row>
    <row r="19" spans="1:85" ht="15">
      <c r="A19" s="3" t="s">
        <v>267</v>
      </c>
      <c r="B19" s="42">
        <v>1217</v>
      </c>
      <c r="C19" s="42">
        <v>607</v>
      </c>
      <c r="D19" s="4">
        <v>453</v>
      </c>
      <c r="E19" s="4">
        <v>1802</v>
      </c>
      <c r="F19" s="4">
        <v>2226</v>
      </c>
      <c r="G19" s="4">
        <v>1487</v>
      </c>
      <c r="H19" s="144">
        <v>943</v>
      </c>
      <c r="I19" s="144">
        <v>656</v>
      </c>
      <c r="J19" s="145">
        <v>379</v>
      </c>
      <c r="K19" s="161">
        <f t="shared" si="1"/>
        <v>9770</v>
      </c>
      <c r="M19" s="3" t="s">
        <v>267</v>
      </c>
      <c r="N19" s="42">
        <v>3355</v>
      </c>
      <c r="O19" s="42">
        <v>1104</v>
      </c>
      <c r="P19" s="4">
        <v>1625</v>
      </c>
      <c r="Q19" s="4">
        <v>5</v>
      </c>
      <c r="R19" s="4">
        <v>1876</v>
      </c>
      <c r="S19" s="4">
        <v>92</v>
      </c>
      <c r="T19" s="144">
        <v>35</v>
      </c>
      <c r="U19" s="144">
        <v>1059</v>
      </c>
      <c r="V19" s="145">
        <v>619</v>
      </c>
      <c r="W19" s="161">
        <f t="shared" si="8"/>
        <v>9770</v>
      </c>
      <c r="Y19" s="3" t="s">
        <v>267</v>
      </c>
      <c r="Z19" s="42">
        <v>2380</v>
      </c>
      <c r="AA19" s="42">
        <v>1551</v>
      </c>
      <c r="AB19" s="4">
        <v>1875</v>
      </c>
      <c r="AC19" s="4">
        <v>2542</v>
      </c>
      <c r="AD19" s="4">
        <v>1197</v>
      </c>
      <c r="AE19" s="4">
        <v>176</v>
      </c>
      <c r="AF19" s="144">
        <v>49</v>
      </c>
      <c r="AG19" s="144">
        <v>7390</v>
      </c>
      <c r="AH19" s="175">
        <f t="shared" si="2"/>
        <v>9770</v>
      </c>
      <c r="AJ19" s="3" t="s">
        <v>267</v>
      </c>
      <c r="AK19" s="42">
        <v>9096</v>
      </c>
      <c r="AL19" s="42">
        <v>375</v>
      </c>
      <c r="AM19" s="4">
        <v>132</v>
      </c>
      <c r="AN19" s="4">
        <v>167</v>
      </c>
      <c r="AO19" s="4">
        <v>674</v>
      </c>
      <c r="AP19" s="175">
        <f t="shared" si="3"/>
        <v>9770</v>
      </c>
      <c r="AQ19" s="178"/>
      <c r="AR19" s="3" t="s">
        <v>266</v>
      </c>
      <c r="AS19" s="42">
        <v>1608</v>
      </c>
      <c r="AT19" s="42">
        <v>341</v>
      </c>
      <c r="AU19" s="4">
        <v>76</v>
      </c>
      <c r="AV19" s="4">
        <v>3</v>
      </c>
      <c r="AW19" s="4">
        <v>3</v>
      </c>
      <c r="AX19" s="4">
        <v>12</v>
      </c>
      <c r="AY19" s="144">
        <v>1</v>
      </c>
      <c r="AZ19" s="144">
        <v>5</v>
      </c>
      <c r="BA19" s="145">
        <v>2</v>
      </c>
      <c r="BB19" s="145">
        <v>4</v>
      </c>
      <c r="BC19" s="145">
        <v>6</v>
      </c>
      <c r="BD19" s="145">
        <v>0</v>
      </c>
      <c r="BE19" s="145">
        <v>1486</v>
      </c>
      <c r="BF19" s="145">
        <v>168</v>
      </c>
      <c r="BG19" s="65">
        <f t="shared" si="7"/>
        <v>3715</v>
      </c>
      <c r="BI19" s="3" t="s">
        <v>267</v>
      </c>
      <c r="BJ19" s="42">
        <v>424</v>
      </c>
      <c r="BK19" s="42">
        <v>309</v>
      </c>
      <c r="BL19" s="4">
        <v>385</v>
      </c>
      <c r="BM19" s="4">
        <v>201</v>
      </c>
      <c r="BN19" s="4">
        <v>205</v>
      </c>
      <c r="BO19" s="4">
        <v>309</v>
      </c>
      <c r="BP19" s="144">
        <v>103</v>
      </c>
      <c r="BQ19" s="144">
        <v>83</v>
      </c>
      <c r="BR19" s="144">
        <v>99</v>
      </c>
      <c r="BS19" s="99">
        <v>81</v>
      </c>
      <c r="BT19" s="61">
        <f t="shared" si="4"/>
        <v>2199</v>
      </c>
      <c r="BV19" s="3" t="s">
        <v>267</v>
      </c>
      <c r="BW19" s="42">
        <v>1071</v>
      </c>
      <c r="BX19" s="42">
        <v>1024</v>
      </c>
      <c r="BY19" s="6">
        <f t="shared" si="5"/>
        <v>2095</v>
      </c>
      <c r="BZ19" s="178"/>
      <c r="CA19" s="3" t="s">
        <v>267</v>
      </c>
      <c r="CB19" s="42">
        <v>1419</v>
      </c>
      <c r="CC19" s="42">
        <v>1503</v>
      </c>
      <c r="CD19" s="99">
        <v>256</v>
      </c>
      <c r="CE19" s="105">
        <v>150</v>
      </c>
      <c r="CF19" s="200">
        <f t="shared" si="6"/>
        <v>3328</v>
      </c>
      <c r="CG19" s="168"/>
    </row>
    <row r="20" spans="1:85" ht="15">
      <c r="A20" s="67" t="s">
        <v>134</v>
      </c>
      <c r="B20" s="128">
        <v>5276</v>
      </c>
      <c r="C20" s="128">
        <v>3106</v>
      </c>
      <c r="D20" s="71">
        <v>2059</v>
      </c>
      <c r="E20" s="71">
        <v>5271</v>
      </c>
      <c r="F20" s="71">
        <v>4773</v>
      </c>
      <c r="G20" s="71">
        <v>5321</v>
      </c>
      <c r="H20" s="71">
        <v>2900</v>
      </c>
      <c r="I20" s="71">
        <v>1650</v>
      </c>
      <c r="J20" s="143">
        <v>2400</v>
      </c>
      <c r="K20" s="160">
        <f t="shared" si="1"/>
        <v>32756</v>
      </c>
      <c r="M20" s="67" t="s">
        <v>134</v>
      </c>
      <c r="N20" s="128">
        <v>20344</v>
      </c>
      <c r="O20" s="128">
        <v>43</v>
      </c>
      <c r="P20" s="71">
        <v>95</v>
      </c>
      <c r="Q20" s="71">
        <v>13</v>
      </c>
      <c r="R20" s="71">
        <v>5756</v>
      </c>
      <c r="S20" s="71">
        <v>10</v>
      </c>
      <c r="T20" s="71">
        <v>136</v>
      </c>
      <c r="U20" s="71">
        <v>3275</v>
      </c>
      <c r="V20" s="143">
        <v>3084</v>
      </c>
      <c r="W20" s="160">
        <f t="shared" si="8"/>
        <v>32756</v>
      </c>
      <c r="Y20" s="67" t="s">
        <v>134</v>
      </c>
      <c r="Z20" s="128">
        <v>17238</v>
      </c>
      <c r="AA20" s="128">
        <v>4948</v>
      </c>
      <c r="AB20" s="71">
        <v>4602</v>
      </c>
      <c r="AC20" s="71">
        <v>3973</v>
      </c>
      <c r="AD20" s="71">
        <v>1464</v>
      </c>
      <c r="AE20" s="71">
        <v>387</v>
      </c>
      <c r="AF20" s="71">
        <v>144</v>
      </c>
      <c r="AG20" s="71">
        <v>15518</v>
      </c>
      <c r="AH20" s="174">
        <f t="shared" si="2"/>
        <v>32756</v>
      </c>
      <c r="AJ20" s="67" t="s">
        <v>134</v>
      </c>
      <c r="AK20" s="128">
        <v>30162</v>
      </c>
      <c r="AL20" s="128">
        <v>1545</v>
      </c>
      <c r="AM20" s="71">
        <v>464</v>
      </c>
      <c r="AN20" s="71">
        <v>585</v>
      </c>
      <c r="AO20" s="71">
        <v>2594</v>
      </c>
      <c r="AP20" s="174">
        <f t="shared" si="3"/>
        <v>32756</v>
      </c>
      <c r="AQ20" s="178"/>
      <c r="AR20" s="3" t="s">
        <v>267</v>
      </c>
      <c r="AS20" s="42">
        <v>4258</v>
      </c>
      <c r="AT20" s="42">
        <v>801</v>
      </c>
      <c r="AU20" s="4">
        <v>175</v>
      </c>
      <c r="AV20" s="4">
        <v>3</v>
      </c>
      <c r="AW20" s="4">
        <v>0</v>
      </c>
      <c r="AX20" s="4">
        <v>5</v>
      </c>
      <c r="AY20" s="144">
        <v>0</v>
      </c>
      <c r="AZ20" s="144">
        <v>3</v>
      </c>
      <c r="BA20" s="145">
        <v>0</v>
      </c>
      <c r="BB20" s="145">
        <v>17</v>
      </c>
      <c r="BC20" s="145">
        <v>11</v>
      </c>
      <c r="BD20" s="145">
        <v>3</v>
      </c>
      <c r="BE20" s="145">
        <v>4098</v>
      </c>
      <c r="BF20" s="145">
        <v>396</v>
      </c>
      <c r="BG20" s="65">
        <f t="shared" si="7"/>
        <v>9770</v>
      </c>
      <c r="BI20" s="67" t="s">
        <v>134</v>
      </c>
      <c r="BJ20" s="128">
        <v>1702</v>
      </c>
      <c r="BK20" s="128">
        <v>1253</v>
      </c>
      <c r="BL20" s="71">
        <v>1642</v>
      </c>
      <c r="BM20" s="71">
        <v>1024</v>
      </c>
      <c r="BN20" s="71">
        <v>1084</v>
      </c>
      <c r="BO20" s="71">
        <v>1644</v>
      </c>
      <c r="BP20" s="71">
        <v>499</v>
      </c>
      <c r="BQ20" s="71">
        <v>460</v>
      </c>
      <c r="BR20" s="71">
        <v>460</v>
      </c>
      <c r="BS20" s="190">
        <v>371</v>
      </c>
      <c r="BT20" s="160">
        <f t="shared" si="4"/>
        <v>10139</v>
      </c>
      <c r="BV20" s="67" t="s">
        <v>134</v>
      </c>
      <c r="BW20" s="128">
        <v>4897</v>
      </c>
      <c r="BX20" s="128">
        <v>4751</v>
      </c>
      <c r="BY20" s="72">
        <f t="shared" si="5"/>
        <v>9648</v>
      </c>
      <c r="BZ20" s="178"/>
      <c r="CA20" s="67" t="s">
        <v>134</v>
      </c>
      <c r="CB20" s="128">
        <v>6783</v>
      </c>
      <c r="CC20" s="128">
        <v>5039</v>
      </c>
      <c r="CD20" s="190">
        <v>821</v>
      </c>
      <c r="CE20" s="71">
        <v>412</v>
      </c>
      <c r="CF20" s="199">
        <f t="shared" si="6"/>
        <v>13055</v>
      </c>
      <c r="CG20" s="168"/>
    </row>
    <row r="21" spans="1:85" ht="15">
      <c r="A21" s="3" t="s">
        <v>268</v>
      </c>
      <c r="B21" s="42">
        <v>2754</v>
      </c>
      <c r="C21" s="42">
        <v>1503</v>
      </c>
      <c r="D21" s="4">
        <v>996</v>
      </c>
      <c r="E21" s="4">
        <v>2592</v>
      </c>
      <c r="F21" s="4">
        <v>2408</v>
      </c>
      <c r="G21" s="4">
        <v>2193</v>
      </c>
      <c r="H21" s="144">
        <v>1133</v>
      </c>
      <c r="I21" s="144">
        <v>685</v>
      </c>
      <c r="J21" s="145">
        <v>554</v>
      </c>
      <c r="K21" s="161">
        <f t="shared" si="1"/>
        <v>14818</v>
      </c>
      <c r="M21" s="3" t="s">
        <v>268</v>
      </c>
      <c r="N21" s="42">
        <v>8812</v>
      </c>
      <c r="O21" s="42">
        <v>11</v>
      </c>
      <c r="P21" s="4">
        <v>15</v>
      </c>
      <c r="Q21" s="4">
        <v>4</v>
      </c>
      <c r="R21" s="4">
        <v>4275</v>
      </c>
      <c r="S21" s="4">
        <v>2</v>
      </c>
      <c r="T21" s="144">
        <v>24</v>
      </c>
      <c r="U21" s="144">
        <v>679</v>
      </c>
      <c r="V21" s="145">
        <v>996</v>
      </c>
      <c r="W21" s="161">
        <f t="shared" si="8"/>
        <v>14818</v>
      </c>
      <c r="Y21" s="3" t="s">
        <v>268</v>
      </c>
      <c r="Z21" s="42">
        <v>5878</v>
      </c>
      <c r="AA21" s="42">
        <v>2714</v>
      </c>
      <c r="AB21" s="4">
        <v>2485</v>
      </c>
      <c r="AC21" s="4">
        <v>2461</v>
      </c>
      <c r="AD21" s="4">
        <v>946</v>
      </c>
      <c r="AE21" s="4">
        <v>258</v>
      </c>
      <c r="AF21" s="144">
        <v>76</v>
      </c>
      <c r="AG21" s="144">
        <v>8940</v>
      </c>
      <c r="AH21" s="175">
        <f t="shared" si="2"/>
        <v>14818</v>
      </c>
      <c r="AJ21" s="3" t="s">
        <v>268</v>
      </c>
      <c r="AK21" s="42">
        <v>13830</v>
      </c>
      <c r="AL21" s="42">
        <v>549</v>
      </c>
      <c r="AM21" s="4">
        <v>206</v>
      </c>
      <c r="AN21" s="4">
        <v>233</v>
      </c>
      <c r="AO21" s="4">
        <v>988</v>
      </c>
      <c r="AP21" s="175">
        <f t="shared" si="3"/>
        <v>14818</v>
      </c>
      <c r="AQ21" s="178"/>
      <c r="AR21" s="67" t="s">
        <v>134</v>
      </c>
      <c r="AS21" s="128">
        <v>17545</v>
      </c>
      <c r="AT21" s="128">
        <v>6521</v>
      </c>
      <c r="AU21" s="71">
        <v>1273</v>
      </c>
      <c r="AV21" s="71">
        <v>17</v>
      </c>
      <c r="AW21" s="71">
        <v>3</v>
      </c>
      <c r="AX21" s="71">
        <v>22</v>
      </c>
      <c r="AY21" s="71">
        <v>0</v>
      </c>
      <c r="AZ21" s="71">
        <v>5</v>
      </c>
      <c r="BA21" s="143">
        <v>0</v>
      </c>
      <c r="BB21" s="143">
        <v>36</v>
      </c>
      <c r="BC21" s="143">
        <v>53</v>
      </c>
      <c r="BD21" s="143">
        <v>12</v>
      </c>
      <c r="BE21" s="143">
        <v>6522</v>
      </c>
      <c r="BF21" s="143">
        <v>747</v>
      </c>
      <c r="BG21" s="162">
        <f t="shared" si="7"/>
        <v>32756</v>
      </c>
      <c r="BI21" s="3" t="s">
        <v>268</v>
      </c>
      <c r="BJ21" s="42">
        <v>998</v>
      </c>
      <c r="BK21" s="42">
        <v>753</v>
      </c>
      <c r="BL21" s="4">
        <v>935</v>
      </c>
      <c r="BM21" s="4">
        <v>574</v>
      </c>
      <c r="BN21" s="4">
        <v>573</v>
      </c>
      <c r="BO21" s="4">
        <v>833</v>
      </c>
      <c r="BP21" s="144">
        <v>265</v>
      </c>
      <c r="BQ21" s="144">
        <v>234</v>
      </c>
      <c r="BR21" s="144">
        <v>245</v>
      </c>
      <c r="BS21" s="99">
        <v>198</v>
      </c>
      <c r="BT21" s="61">
        <f t="shared" si="4"/>
        <v>5608</v>
      </c>
      <c r="BV21" s="3" t="s">
        <v>268</v>
      </c>
      <c r="BW21" s="42">
        <v>2461</v>
      </c>
      <c r="BX21" s="42">
        <v>2392</v>
      </c>
      <c r="BY21" s="6">
        <f t="shared" si="5"/>
        <v>4853</v>
      </c>
      <c r="BZ21" s="178"/>
      <c r="CA21" s="3" t="s">
        <v>268</v>
      </c>
      <c r="CB21" s="42">
        <v>2306</v>
      </c>
      <c r="CC21" s="42">
        <v>2398</v>
      </c>
      <c r="CD21" s="99">
        <v>517</v>
      </c>
      <c r="CE21" s="105">
        <v>279</v>
      </c>
      <c r="CF21" s="200">
        <f t="shared" si="6"/>
        <v>5500</v>
      </c>
      <c r="CG21" s="168"/>
    </row>
    <row r="22" spans="1:85" ht="15">
      <c r="A22" s="3" t="s">
        <v>269</v>
      </c>
      <c r="B22" s="42">
        <v>1219</v>
      </c>
      <c r="C22" s="42">
        <v>841</v>
      </c>
      <c r="D22" s="4">
        <v>686</v>
      </c>
      <c r="E22" s="4">
        <v>1720</v>
      </c>
      <c r="F22" s="4">
        <v>1574</v>
      </c>
      <c r="G22" s="4">
        <v>2285</v>
      </c>
      <c r="H22" s="144">
        <v>1434</v>
      </c>
      <c r="I22" s="144">
        <v>860</v>
      </c>
      <c r="J22" s="145">
        <v>1678</v>
      </c>
      <c r="K22" s="161">
        <f t="shared" si="1"/>
        <v>12297</v>
      </c>
      <c r="M22" s="3" t="s">
        <v>269</v>
      </c>
      <c r="N22" s="42">
        <v>8652</v>
      </c>
      <c r="O22" s="42">
        <v>22</v>
      </c>
      <c r="P22" s="4">
        <v>36</v>
      </c>
      <c r="Q22" s="4">
        <v>4</v>
      </c>
      <c r="R22" s="4">
        <v>162</v>
      </c>
      <c r="S22" s="4">
        <v>3</v>
      </c>
      <c r="T22" s="144">
        <v>85</v>
      </c>
      <c r="U22" s="144">
        <v>1840</v>
      </c>
      <c r="V22" s="145">
        <v>1493</v>
      </c>
      <c r="W22" s="161">
        <f t="shared" si="8"/>
        <v>12297</v>
      </c>
      <c r="Y22" s="3" t="s">
        <v>269</v>
      </c>
      <c r="Z22" s="42">
        <v>7361</v>
      </c>
      <c r="AA22" s="42">
        <v>1623</v>
      </c>
      <c r="AB22" s="4">
        <v>1715</v>
      </c>
      <c r="AC22" s="4">
        <v>1110</v>
      </c>
      <c r="AD22" s="4">
        <v>355</v>
      </c>
      <c r="AE22" s="4">
        <v>83</v>
      </c>
      <c r="AF22" s="144">
        <v>50</v>
      </c>
      <c r="AG22" s="144">
        <v>4936</v>
      </c>
      <c r="AH22" s="175">
        <f t="shared" si="2"/>
        <v>12297</v>
      </c>
      <c r="AJ22" s="3" t="s">
        <v>269</v>
      </c>
      <c r="AK22" s="42">
        <v>11093</v>
      </c>
      <c r="AL22" s="42">
        <v>752</v>
      </c>
      <c r="AM22" s="4">
        <v>197</v>
      </c>
      <c r="AN22" s="4">
        <v>255</v>
      </c>
      <c r="AO22" s="4">
        <v>1204</v>
      </c>
      <c r="AP22" s="175">
        <f t="shared" si="3"/>
        <v>12297</v>
      </c>
      <c r="AQ22" s="178"/>
      <c r="AR22" s="3" t="s">
        <v>268</v>
      </c>
      <c r="AS22" s="42">
        <v>7847</v>
      </c>
      <c r="AT22" s="42">
        <v>1847</v>
      </c>
      <c r="AU22" s="4">
        <v>405</v>
      </c>
      <c r="AV22" s="4">
        <v>2</v>
      </c>
      <c r="AW22" s="4">
        <v>2</v>
      </c>
      <c r="AX22" s="4">
        <v>9</v>
      </c>
      <c r="AY22" s="144">
        <v>0</v>
      </c>
      <c r="AZ22" s="144">
        <v>4</v>
      </c>
      <c r="BA22" s="145">
        <v>0</v>
      </c>
      <c r="BB22" s="145">
        <v>13</v>
      </c>
      <c r="BC22" s="145">
        <v>24</v>
      </c>
      <c r="BD22" s="145">
        <v>0</v>
      </c>
      <c r="BE22" s="145">
        <v>4214</v>
      </c>
      <c r="BF22" s="145">
        <v>451</v>
      </c>
      <c r="BG22" s="65">
        <f t="shared" si="7"/>
        <v>14818</v>
      </c>
      <c r="BI22" s="3" t="s">
        <v>269</v>
      </c>
      <c r="BJ22" s="42">
        <v>447</v>
      </c>
      <c r="BK22" s="42">
        <v>347</v>
      </c>
      <c r="BL22" s="4">
        <v>482</v>
      </c>
      <c r="BM22" s="4">
        <v>320</v>
      </c>
      <c r="BN22" s="4">
        <v>343</v>
      </c>
      <c r="BO22" s="4">
        <v>560</v>
      </c>
      <c r="BP22" s="144">
        <v>172</v>
      </c>
      <c r="BQ22" s="144">
        <v>167</v>
      </c>
      <c r="BR22" s="144">
        <v>167</v>
      </c>
      <c r="BS22" s="99">
        <v>129</v>
      </c>
      <c r="BT22" s="61">
        <f t="shared" si="4"/>
        <v>3134</v>
      </c>
      <c r="BV22" s="3" t="s">
        <v>269</v>
      </c>
      <c r="BW22" s="42">
        <v>1234</v>
      </c>
      <c r="BX22" s="42">
        <v>1228</v>
      </c>
      <c r="BY22" s="6">
        <f t="shared" si="5"/>
        <v>2462</v>
      </c>
      <c r="BZ22" s="178"/>
      <c r="CA22" s="3" t="s">
        <v>269</v>
      </c>
      <c r="CB22" s="42">
        <v>3695</v>
      </c>
      <c r="CC22" s="42">
        <v>2000</v>
      </c>
      <c r="CD22" s="99">
        <v>185</v>
      </c>
      <c r="CE22" s="105">
        <v>68</v>
      </c>
      <c r="CF22" s="200">
        <f t="shared" si="6"/>
        <v>5948</v>
      </c>
      <c r="CG22" s="168"/>
    </row>
    <row r="23" spans="1:85" ht="15">
      <c r="A23" s="3" t="s">
        <v>270</v>
      </c>
      <c r="B23" s="42">
        <v>1303</v>
      </c>
      <c r="C23" s="42">
        <v>762</v>
      </c>
      <c r="D23" s="4">
        <v>377</v>
      </c>
      <c r="E23" s="4">
        <v>959</v>
      </c>
      <c r="F23" s="4">
        <v>791</v>
      </c>
      <c r="G23" s="4">
        <v>843</v>
      </c>
      <c r="H23" s="144">
        <v>333</v>
      </c>
      <c r="I23" s="144">
        <v>105</v>
      </c>
      <c r="J23" s="145">
        <v>168</v>
      </c>
      <c r="K23" s="161">
        <f t="shared" si="1"/>
        <v>5641</v>
      </c>
      <c r="M23" s="3" t="s">
        <v>270</v>
      </c>
      <c r="N23" s="42">
        <v>2880</v>
      </c>
      <c r="O23" s="42">
        <v>10</v>
      </c>
      <c r="P23" s="4">
        <v>44</v>
      </c>
      <c r="Q23" s="4">
        <v>5</v>
      </c>
      <c r="R23" s="4">
        <v>1319</v>
      </c>
      <c r="S23" s="4">
        <v>5</v>
      </c>
      <c r="T23" s="144">
        <v>27</v>
      </c>
      <c r="U23" s="144">
        <v>756</v>
      </c>
      <c r="V23" s="145">
        <v>595</v>
      </c>
      <c r="W23" s="161">
        <f t="shared" si="8"/>
        <v>5641</v>
      </c>
      <c r="Y23" s="3" t="s">
        <v>270</v>
      </c>
      <c r="Z23" s="42">
        <v>3999</v>
      </c>
      <c r="AA23" s="42">
        <v>611</v>
      </c>
      <c r="AB23" s="4">
        <v>402</v>
      </c>
      <c r="AC23" s="4">
        <v>402</v>
      </c>
      <c r="AD23" s="4">
        <v>163</v>
      </c>
      <c r="AE23" s="4">
        <v>46</v>
      </c>
      <c r="AF23" s="144">
        <v>18</v>
      </c>
      <c r="AG23" s="144">
        <v>1642</v>
      </c>
      <c r="AH23" s="175">
        <f t="shared" si="2"/>
        <v>5641</v>
      </c>
      <c r="AJ23" s="3" t="s">
        <v>270</v>
      </c>
      <c r="AK23" s="42">
        <v>5239</v>
      </c>
      <c r="AL23" s="42">
        <v>244</v>
      </c>
      <c r="AM23" s="4">
        <v>61</v>
      </c>
      <c r="AN23" s="4">
        <v>97</v>
      </c>
      <c r="AO23" s="4">
        <v>402</v>
      </c>
      <c r="AP23" s="175">
        <f t="shared" si="3"/>
        <v>5641</v>
      </c>
      <c r="AQ23" s="178"/>
      <c r="AR23" s="3" t="s">
        <v>269</v>
      </c>
      <c r="AS23" s="42">
        <v>7046</v>
      </c>
      <c r="AT23" s="42">
        <v>3128</v>
      </c>
      <c r="AU23" s="4">
        <v>564</v>
      </c>
      <c r="AV23" s="4">
        <v>8</v>
      </c>
      <c r="AW23" s="4">
        <v>0</v>
      </c>
      <c r="AX23" s="4">
        <v>5</v>
      </c>
      <c r="AY23" s="144">
        <v>0</v>
      </c>
      <c r="AZ23" s="144">
        <v>1</v>
      </c>
      <c r="BA23" s="145">
        <v>0</v>
      </c>
      <c r="BB23" s="145">
        <v>7</v>
      </c>
      <c r="BC23" s="145">
        <v>17</v>
      </c>
      <c r="BD23" s="145">
        <v>11</v>
      </c>
      <c r="BE23" s="145">
        <v>1343</v>
      </c>
      <c r="BF23" s="145">
        <v>167</v>
      </c>
      <c r="BG23" s="65">
        <f t="shared" si="7"/>
        <v>12297</v>
      </c>
      <c r="BI23" s="3" t="s">
        <v>270</v>
      </c>
      <c r="BJ23" s="42">
        <v>257</v>
      </c>
      <c r="BK23" s="42">
        <v>153</v>
      </c>
      <c r="BL23" s="4">
        <v>225</v>
      </c>
      <c r="BM23" s="4">
        <v>130</v>
      </c>
      <c r="BN23" s="4">
        <v>168</v>
      </c>
      <c r="BO23" s="4">
        <v>251</v>
      </c>
      <c r="BP23" s="144">
        <v>62</v>
      </c>
      <c r="BQ23" s="144">
        <v>59</v>
      </c>
      <c r="BR23" s="144">
        <v>48</v>
      </c>
      <c r="BS23" s="99">
        <v>44</v>
      </c>
      <c r="BT23" s="61">
        <f t="shared" si="4"/>
        <v>1397</v>
      </c>
      <c r="BV23" s="3" t="s">
        <v>270</v>
      </c>
      <c r="BW23" s="42">
        <v>1202</v>
      </c>
      <c r="BX23" s="42">
        <v>1131</v>
      </c>
      <c r="BY23" s="6">
        <f t="shared" si="5"/>
        <v>2333</v>
      </c>
      <c r="BZ23" s="178"/>
      <c r="CA23" s="3" t="s">
        <v>270</v>
      </c>
      <c r="CB23" s="42">
        <v>782</v>
      </c>
      <c r="CC23" s="42">
        <v>641</v>
      </c>
      <c r="CD23" s="99">
        <v>119</v>
      </c>
      <c r="CE23" s="105">
        <v>65</v>
      </c>
      <c r="CF23" s="200">
        <f t="shared" si="6"/>
        <v>1607</v>
      </c>
      <c r="CG23" s="168"/>
    </row>
    <row r="24" spans="1:85" ht="15">
      <c r="A24" s="67" t="s">
        <v>135</v>
      </c>
      <c r="B24" s="128">
        <v>810</v>
      </c>
      <c r="C24" s="128">
        <v>366</v>
      </c>
      <c r="D24" s="71">
        <v>272</v>
      </c>
      <c r="E24" s="71">
        <v>1675</v>
      </c>
      <c r="F24" s="71">
        <v>1446</v>
      </c>
      <c r="G24" s="71">
        <v>921</v>
      </c>
      <c r="H24" s="71">
        <v>459</v>
      </c>
      <c r="I24" s="71">
        <v>274</v>
      </c>
      <c r="J24" s="143">
        <v>221</v>
      </c>
      <c r="K24" s="160">
        <f t="shared" si="1"/>
        <v>6444</v>
      </c>
      <c r="M24" s="67" t="s">
        <v>135</v>
      </c>
      <c r="N24" s="128">
        <v>2038</v>
      </c>
      <c r="O24" s="128">
        <v>63</v>
      </c>
      <c r="P24" s="71">
        <v>101</v>
      </c>
      <c r="Q24" s="71">
        <v>89</v>
      </c>
      <c r="R24" s="71">
        <v>2582</v>
      </c>
      <c r="S24" s="71">
        <v>73</v>
      </c>
      <c r="T24" s="71">
        <v>63</v>
      </c>
      <c r="U24" s="71">
        <v>963</v>
      </c>
      <c r="V24" s="143">
        <v>472</v>
      </c>
      <c r="W24" s="160">
        <f t="shared" si="8"/>
        <v>6444</v>
      </c>
      <c r="Y24" s="67" t="s">
        <v>135</v>
      </c>
      <c r="Z24" s="128">
        <v>1739</v>
      </c>
      <c r="AA24" s="128">
        <v>1027</v>
      </c>
      <c r="AB24" s="71">
        <v>1484</v>
      </c>
      <c r="AC24" s="71">
        <v>1582</v>
      </c>
      <c r="AD24" s="71">
        <v>464</v>
      </c>
      <c r="AE24" s="71">
        <v>106</v>
      </c>
      <c r="AF24" s="71">
        <v>42</v>
      </c>
      <c r="AG24" s="71">
        <v>4705</v>
      </c>
      <c r="AH24" s="174">
        <f t="shared" si="2"/>
        <v>6444</v>
      </c>
      <c r="AJ24" s="67" t="s">
        <v>135</v>
      </c>
      <c r="AK24" s="128">
        <v>6077</v>
      </c>
      <c r="AL24" s="128">
        <v>214</v>
      </c>
      <c r="AM24" s="71">
        <v>65</v>
      </c>
      <c r="AN24" s="71">
        <v>88</v>
      </c>
      <c r="AO24" s="71">
        <v>367</v>
      </c>
      <c r="AP24" s="174">
        <f t="shared" si="3"/>
        <v>6444</v>
      </c>
      <c r="AQ24" s="178"/>
      <c r="AR24" s="3" t="s">
        <v>270</v>
      </c>
      <c r="AS24" s="42">
        <v>2652</v>
      </c>
      <c r="AT24" s="42">
        <v>1546</v>
      </c>
      <c r="AU24" s="4">
        <v>304</v>
      </c>
      <c r="AV24" s="4">
        <v>7</v>
      </c>
      <c r="AW24" s="4">
        <v>1</v>
      </c>
      <c r="AX24" s="4">
        <v>8</v>
      </c>
      <c r="AY24" s="144">
        <v>0</v>
      </c>
      <c r="AZ24" s="144">
        <v>0</v>
      </c>
      <c r="BA24" s="145">
        <v>0</v>
      </c>
      <c r="BB24" s="145">
        <v>16</v>
      </c>
      <c r="BC24" s="145">
        <v>12</v>
      </c>
      <c r="BD24" s="145">
        <v>1</v>
      </c>
      <c r="BE24" s="145">
        <v>965</v>
      </c>
      <c r="BF24" s="145">
        <v>129</v>
      </c>
      <c r="BG24" s="65">
        <f t="shared" si="7"/>
        <v>5641</v>
      </c>
      <c r="BI24" s="67" t="s">
        <v>135</v>
      </c>
      <c r="BJ24" s="128">
        <v>320</v>
      </c>
      <c r="BK24" s="128">
        <v>211</v>
      </c>
      <c r="BL24" s="71">
        <v>259</v>
      </c>
      <c r="BM24" s="71">
        <v>152</v>
      </c>
      <c r="BN24" s="71">
        <v>139</v>
      </c>
      <c r="BO24" s="71">
        <v>216</v>
      </c>
      <c r="BP24" s="71">
        <v>65</v>
      </c>
      <c r="BQ24" s="71">
        <v>53</v>
      </c>
      <c r="BR24" s="71">
        <v>50</v>
      </c>
      <c r="BS24" s="190">
        <v>33</v>
      </c>
      <c r="BT24" s="160">
        <f t="shared" si="4"/>
        <v>1498</v>
      </c>
      <c r="BV24" s="67" t="s">
        <v>135</v>
      </c>
      <c r="BW24" s="128">
        <v>687</v>
      </c>
      <c r="BX24" s="128">
        <v>638</v>
      </c>
      <c r="BY24" s="72">
        <f t="shared" si="5"/>
        <v>1325</v>
      </c>
      <c r="BZ24" s="178"/>
      <c r="CA24" s="67" t="s">
        <v>135</v>
      </c>
      <c r="CB24" s="128">
        <v>1076</v>
      </c>
      <c r="CC24" s="128">
        <v>1079</v>
      </c>
      <c r="CD24" s="190">
        <v>169</v>
      </c>
      <c r="CE24" s="71">
        <v>68</v>
      </c>
      <c r="CF24" s="199">
        <f t="shared" si="6"/>
        <v>2392</v>
      </c>
      <c r="CG24" s="168"/>
    </row>
    <row r="25" spans="1:85" ht="15">
      <c r="A25" s="3" t="s">
        <v>271</v>
      </c>
      <c r="B25" s="42">
        <v>364</v>
      </c>
      <c r="C25" s="42">
        <v>128</v>
      </c>
      <c r="D25" s="4">
        <v>119</v>
      </c>
      <c r="E25" s="4">
        <v>581</v>
      </c>
      <c r="F25" s="4">
        <v>475</v>
      </c>
      <c r="G25" s="4">
        <v>344</v>
      </c>
      <c r="H25" s="144">
        <v>154</v>
      </c>
      <c r="I25" s="144">
        <v>98</v>
      </c>
      <c r="J25" s="145">
        <v>67</v>
      </c>
      <c r="K25" s="161">
        <f t="shared" si="1"/>
        <v>2330</v>
      </c>
      <c r="M25" s="3" t="s">
        <v>271</v>
      </c>
      <c r="N25" s="42">
        <v>323</v>
      </c>
      <c r="O25" s="42">
        <v>3</v>
      </c>
      <c r="P25" s="4">
        <v>2</v>
      </c>
      <c r="Q25" s="4">
        <v>7</v>
      </c>
      <c r="R25" s="4">
        <v>1571</v>
      </c>
      <c r="S25" s="4">
        <v>4</v>
      </c>
      <c r="T25" s="144">
        <v>21</v>
      </c>
      <c r="U25" s="144">
        <v>284</v>
      </c>
      <c r="V25" s="145">
        <v>135</v>
      </c>
      <c r="W25" s="161">
        <f t="shared" si="8"/>
        <v>2350</v>
      </c>
      <c r="Y25" s="3" t="s">
        <v>271</v>
      </c>
      <c r="Z25" s="42">
        <v>735</v>
      </c>
      <c r="AA25" s="42">
        <v>343</v>
      </c>
      <c r="AB25" s="4">
        <v>530</v>
      </c>
      <c r="AC25" s="4">
        <v>527</v>
      </c>
      <c r="AD25" s="4">
        <v>152</v>
      </c>
      <c r="AE25" s="4">
        <v>48</v>
      </c>
      <c r="AF25" s="144">
        <v>15</v>
      </c>
      <c r="AG25" s="144">
        <v>1615</v>
      </c>
      <c r="AH25" s="175">
        <f t="shared" si="2"/>
        <v>2350</v>
      </c>
      <c r="AJ25" s="3" t="s">
        <v>271</v>
      </c>
      <c r="AK25" s="42">
        <v>2220</v>
      </c>
      <c r="AL25" s="42">
        <v>70</v>
      </c>
      <c r="AM25" s="4">
        <v>26</v>
      </c>
      <c r="AN25" s="4">
        <v>34</v>
      </c>
      <c r="AO25" s="4">
        <v>130</v>
      </c>
      <c r="AP25" s="175">
        <f t="shared" si="3"/>
        <v>2350</v>
      </c>
      <c r="AQ25" s="178"/>
      <c r="AR25" s="67" t="s">
        <v>135</v>
      </c>
      <c r="AS25" s="128">
        <v>2356</v>
      </c>
      <c r="AT25" s="128">
        <v>731</v>
      </c>
      <c r="AU25" s="71">
        <v>175</v>
      </c>
      <c r="AV25" s="71">
        <v>2</v>
      </c>
      <c r="AW25" s="71">
        <v>2</v>
      </c>
      <c r="AX25" s="71">
        <v>5</v>
      </c>
      <c r="AY25" s="71">
        <v>0</v>
      </c>
      <c r="AZ25" s="71">
        <v>1</v>
      </c>
      <c r="BA25" s="143">
        <v>0</v>
      </c>
      <c r="BB25" s="143">
        <v>8</v>
      </c>
      <c r="BC25" s="143">
        <v>31</v>
      </c>
      <c r="BD25" s="143">
        <v>4</v>
      </c>
      <c r="BE25" s="143">
        <v>2830</v>
      </c>
      <c r="BF25" s="143">
        <v>299</v>
      </c>
      <c r="BG25" s="162">
        <f t="shared" si="7"/>
        <v>6444</v>
      </c>
      <c r="BI25" s="3" t="s">
        <v>271</v>
      </c>
      <c r="BJ25" s="42">
        <v>141</v>
      </c>
      <c r="BK25" s="42">
        <v>94</v>
      </c>
      <c r="BL25" s="4">
        <v>123</v>
      </c>
      <c r="BM25" s="4">
        <v>67</v>
      </c>
      <c r="BN25" s="4">
        <v>57</v>
      </c>
      <c r="BO25" s="4">
        <v>99</v>
      </c>
      <c r="BP25" s="144">
        <v>25</v>
      </c>
      <c r="BQ25" s="144">
        <v>21</v>
      </c>
      <c r="BR25" s="144">
        <v>22</v>
      </c>
      <c r="BS25" s="99">
        <v>12</v>
      </c>
      <c r="BT25" s="61">
        <f t="shared" si="4"/>
        <v>661</v>
      </c>
      <c r="BV25" s="3" t="s">
        <v>271</v>
      </c>
      <c r="BW25" s="42">
        <v>299</v>
      </c>
      <c r="BX25" s="42">
        <v>271</v>
      </c>
      <c r="BY25" s="6">
        <f t="shared" si="5"/>
        <v>570</v>
      </c>
      <c r="BZ25" s="178"/>
      <c r="CA25" s="3" t="s">
        <v>271</v>
      </c>
      <c r="CB25" s="42">
        <v>390</v>
      </c>
      <c r="CC25" s="42">
        <v>401</v>
      </c>
      <c r="CD25" s="99">
        <v>75</v>
      </c>
      <c r="CE25" s="105">
        <v>31</v>
      </c>
      <c r="CF25" s="200">
        <f t="shared" si="6"/>
        <v>897</v>
      </c>
      <c r="CG25" s="168"/>
    </row>
    <row r="26" spans="1:85" ht="15">
      <c r="A26" s="146" t="s">
        <v>272</v>
      </c>
      <c r="B26" s="147">
        <v>446</v>
      </c>
      <c r="C26" s="147">
        <v>218</v>
      </c>
      <c r="D26" s="148">
        <v>153</v>
      </c>
      <c r="E26" s="148">
        <v>1094</v>
      </c>
      <c r="F26" s="148">
        <v>971</v>
      </c>
      <c r="G26" s="148">
        <v>577</v>
      </c>
      <c r="H26" s="149">
        <v>305</v>
      </c>
      <c r="I26" s="149">
        <v>176</v>
      </c>
      <c r="J26" s="150">
        <v>154</v>
      </c>
      <c r="K26" s="161">
        <f t="shared" si="1"/>
        <v>4094</v>
      </c>
      <c r="M26" s="146" t="s">
        <v>272</v>
      </c>
      <c r="N26" s="147">
        <v>1715</v>
      </c>
      <c r="O26" s="147">
        <v>60</v>
      </c>
      <c r="P26" s="148">
        <v>99</v>
      </c>
      <c r="Q26" s="148">
        <v>82</v>
      </c>
      <c r="R26" s="148">
        <v>1011</v>
      </c>
      <c r="S26" s="148">
        <v>69</v>
      </c>
      <c r="T26" s="149">
        <v>42</v>
      </c>
      <c r="U26" s="149">
        <v>679</v>
      </c>
      <c r="V26" s="150">
        <v>337</v>
      </c>
      <c r="W26" s="161">
        <f t="shared" si="8"/>
        <v>4094</v>
      </c>
      <c r="Y26" s="146" t="s">
        <v>272</v>
      </c>
      <c r="Z26" s="147">
        <v>1004</v>
      </c>
      <c r="AA26" s="147">
        <v>684</v>
      </c>
      <c r="AB26" s="148">
        <v>954</v>
      </c>
      <c r="AC26" s="148">
        <v>1055</v>
      </c>
      <c r="AD26" s="148">
        <v>312</v>
      </c>
      <c r="AE26" s="148">
        <v>58</v>
      </c>
      <c r="AF26" s="149">
        <v>27</v>
      </c>
      <c r="AG26" s="149">
        <v>3090</v>
      </c>
      <c r="AH26" s="175">
        <f t="shared" si="2"/>
        <v>4094</v>
      </c>
      <c r="AJ26" s="146" t="s">
        <v>272</v>
      </c>
      <c r="AK26" s="147">
        <v>3857</v>
      </c>
      <c r="AL26" s="147">
        <v>144</v>
      </c>
      <c r="AM26" s="148">
        <v>39</v>
      </c>
      <c r="AN26" s="148">
        <v>54</v>
      </c>
      <c r="AO26" s="148">
        <v>237</v>
      </c>
      <c r="AP26" s="175">
        <f t="shared" si="3"/>
        <v>4094</v>
      </c>
      <c r="AQ26" s="178"/>
      <c r="AR26" s="3" t="s">
        <v>271</v>
      </c>
      <c r="AS26" s="42">
        <v>973</v>
      </c>
      <c r="AT26" s="42">
        <v>306</v>
      </c>
      <c r="AU26" s="4">
        <v>103</v>
      </c>
      <c r="AV26" s="4">
        <v>1</v>
      </c>
      <c r="AW26" s="4">
        <v>1</v>
      </c>
      <c r="AX26" s="4">
        <v>1</v>
      </c>
      <c r="AY26" s="144">
        <v>0</v>
      </c>
      <c r="AZ26" s="144">
        <v>1</v>
      </c>
      <c r="BA26" s="145">
        <v>0</v>
      </c>
      <c r="BB26" s="145">
        <v>2</v>
      </c>
      <c r="BC26" s="145">
        <v>12</v>
      </c>
      <c r="BD26" s="145">
        <v>3</v>
      </c>
      <c r="BE26" s="145">
        <v>848</v>
      </c>
      <c r="BF26" s="145">
        <v>99</v>
      </c>
      <c r="BG26" s="65">
        <f t="shared" si="7"/>
        <v>2350</v>
      </c>
      <c r="BI26" s="146" t="s">
        <v>272</v>
      </c>
      <c r="BJ26" s="147">
        <v>179</v>
      </c>
      <c r="BK26" s="147">
        <v>117</v>
      </c>
      <c r="BL26" s="148">
        <v>136</v>
      </c>
      <c r="BM26" s="148">
        <v>85</v>
      </c>
      <c r="BN26" s="148">
        <v>82</v>
      </c>
      <c r="BO26" s="148">
        <v>117</v>
      </c>
      <c r="BP26" s="149">
        <v>40</v>
      </c>
      <c r="BQ26" s="149">
        <v>32</v>
      </c>
      <c r="BR26" s="144">
        <v>28</v>
      </c>
      <c r="BS26" s="99">
        <v>21</v>
      </c>
      <c r="BT26" s="61">
        <f t="shared" si="4"/>
        <v>837</v>
      </c>
      <c r="BV26" s="146" t="s">
        <v>272</v>
      </c>
      <c r="BW26" s="147">
        <v>388</v>
      </c>
      <c r="BX26" s="147">
        <v>367</v>
      </c>
      <c r="BY26" s="6">
        <f t="shared" si="5"/>
        <v>755</v>
      </c>
      <c r="BZ26" s="178"/>
      <c r="CA26" s="3" t="s">
        <v>272</v>
      </c>
      <c r="CB26" s="42">
        <v>686</v>
      </c>
      <c r="CC26" s="42">
        <v>678</v>
      </c>
      <c r="CD26" s="99">
        <v>94</v>
      </c>
      <c r="CE26" s="105">
        <v>37</v>
      </c>
      <c r="CF26" s="200">
        <f t="shared" si="6"/>
        <v>1495</v>
      </c>
      <c r="CG26" s="168"/>
    </row>
    <row r="27" spans="1:85" ht="15">
      <c r="A27" s="127" t="s">
        <v>48</v>
      </c>
      <c r="B27" s="61">
        <f>SUM(B4+B9+B14+B20+B24)</f>
        <v>36244</v>
      </c>
      <c r="C27" s="61">
        <f aca="true" t="shared" si="9" ref="C27:J27">SUM(C4+C9+C14+C20+C24)</f>
        <v>14762</v>
      </c>
      <c r="D27" s="61">
        <f t="shared" si="9"/>
        <v>10162</v>
      </c>
      <c r="E27" s="61">
        <f t="shared" si="9"/>
        <v>70916</v>
      </c>
      <c r="F27" s="61">
        <f t="shared" si="9"/>
        <v>71261</v>
      </c>
      <c r="G27" s="61">
        <f t="shared" si="9"/>
        <v>40642</v>
      </c>
      <c r="H27" s="61">
        <f t="shared" si="9"/>
        <v>25439</v>
      </c>
      <c r="I27" s="61">
        <f t="shared" si="9"/>
        <v>18368</v>
      </c>
      <c r="J27" s="61">
        <f t="shared" si="9"/>
        <v>19201</v>
      </c>
      <c r="K27" s="61">
        <f>SUM(K4+K9+K14+K20+K24)</f>
        <v>306995</v>
      </c>
      <c r="M27" s="127" t="s">
        <v>48</v>
      </c>
      <c r="N27" s="61">
        <f>SUM(N4+N9+N14+N20+N24)</f>
        <v>162590</v>
      </c>
      <c r="O27" s="61">
        <f aca="true" t="shared" si="10" ref="O27:V27">SUM(O4+O9+O14+O20+O24)</f>
        <v>2574</v>
      </c>
      <c r="P27" s="61">
        <f t="shared" si="10"/>
        <v>6496</v>
      </c>
      <c r="Q27" s="61">
        <f t="shared" si="10"/>
        <v>1617</v>
      </c>
      <c r="R27" s="61">
        <f t="shared" si="10"/>
        <v>24746</v>
      </c>
      <c r="S27" s="61">
        <f t="shared" si="10"/>
        <v>832</v>
      </c>
      <c r="T27" s="61">
        <f t="shared" si="10"/>
        <v>1283</v>
      </c>
      <c r="U27" s="61">
        <f t="shared" si="10"/>
        <v>82740</v>
      </c>
      <c r="V27" s="61">
        <f t="shared" si="10"/>
        <v>24117</v>
      </c>
      <c r="W27" s="61">
        <f>SUM(W4+W9+W14+W20+W24)</f>
        <v>306995</v>
      </c>
      <c r="Y27" s="127" t="s">
        <v>48</v>
      </c>
      <c r="Z27" s="61">
        <f>SUM(Z4+Z9+Z14+Z20+Z24)</f>
        <v>198422</v>
      </c>
      <c r="AA27" s="61">
        <f aca="true" t="shared" si="11" ref="AA27:AH27">SUM(AA4+AA9+AA14+AA20+AA24)</f>
        <v>23247</v>
      </c>
      <c r="AB27" s="61">
        <f t="shared" si="11"/>
        <v>36294</v>
      </c>
      <c r="AC27" s="61">
        <f t="shared" si="11"/>
        <v>36236</v>
      </c>
      <c r="AD27" s="61">
        <f t="shared" si="11"/>
        <v>10234</v>
      </c>
      <c r="AE27" s="61">
        <f t="shared" si="11"/>
        <v>1971</v>
      </c>
      <c r="AF27" s="61">
        <f t="shared" si="11"/>
        <v>591</v>
      </c>
      <c r="AG27" s="61">
        <f t="shared" si="11"/>
        <v>108573</v>
      </c>
      <c r="AH27" s="61">
        <f t="shared" si="11"/>
        <v>306995</v>
      </c>
      <c r="AJ27" s="127" t="s">
        <v>48</v>
      </c>
      <c r="AK27" s="61">
        <f aca="true" t="shared" si="12" ref="AK27:AP27">SUM(AK4+AK9+AK14+AK20+AK24)</f>
        <v>287010</v>
      </c>
      <c r="AL27" s="61">
        <f t="shared" si="12"/>
        <v>13132</v>
      </c>
      <c r="AM27" s="61">
        <f t="shared" si="12"/>
        <v>2876</v>
      </c>
      <c r="AN27" s="61">
        <f t="shared" si="12"/>
        <v>3977</v>
      </c>
      <c r="AO27" s="61">
        <f t="shared" si="12"/>
        <v>19985</v>
      </c>
      <c r="AP27" s="61">
        <f t="shared" si="12"/>
        <v>306995</v>
      </c>
      <c r="AQ27" s="168"/>
      <c r="AR27" s="146" t="s">
        <v>272</v>
      </c>
      <c r="AS27" s="147">
        <v>1383</v>
      </c>
      <c r="AT27" s="147">
        <v>425</v>
      </c>
      <c r="AU27" s="148">
        <v>72</v>
      </c>
      <c r="AV27" s="148">
        <v>1</v>
      </c>
      <c r="AW27" s="148">
        <v>1</v>
      </c>
      <c r="AX27" s="148">
        <v>4</v>
      </c>
      <c r="AY27" s="149">
        <v>0</v>
      </c>
      <c r="AZ27" s="149">
        <v>0</v>
      </c>
      <c r="BA27" s="150">
        <v>0</v>
      </c>
      <c r="BB27" s="150">
        <v>6</v>
      </c>
      <c r="BC27" s="150">
        <v>19</v>
      </c>
      <c r="BD27" s="150">
        <v>1</v>
      </c>
      <c r="BE27" s="150">
        <v>1982</v>
      </c>
      <c r="BF27" s="150">
        <v>200</v>
      </c>
      <c r="BG27" s="65">
        <f t="shared" si="7"/>
        <v>4094</v>
      </c>
      <c r="BI27" s="127" t="s">
        <v>48</v>
      </c>
      <c r="BJ27" s="61">
        <f>SUM(BJ4+BJ9+BJ14+BJ20+BJ24)</f>
        <v>14004</v>
      </c>
      <c r="BK27" s="61">
        <f aca="true" t="shared" si="13" ref="BK27:BS27">SUM(BK4+BK9+BK14+BK20+BK24)</f>
        <v>7652</v>
      </c>
      <c r="BL27" s="61">
        <f t="shared" si="13"/>
        <v>9228</v>
      </c>
      <c r="BM27" s="61">
        <f t="shared" si="13"/>
        <v>5344</v>
      </c>
      <c r="BN27" s="61">
        <f t="shared" si="13"/>
        <v>5158</v>
      </c>
      <c r="BO27" s="61">
        <f t="shared" si="13"/>
        <v>7349</v>
      </c>
      <c r="BP27" s="61">
        <f t="shared" si="13"/>
        <v>2234</v>
      </c>
      <c r="BQ27" s="61">
        <f t="shared" si="13"/>
        <v>2090</v>
      </c>
      <c r="BR27" s="61">
        <f t="shared" si="13"/>
        <v>2000</v>
      </c>
      <c r="BS27" s="61">
        <f t="shared" si="13"/>
        <v>1536</v>
      </c>
      <c r="BT27" s="61">
        <f t="shared" si="4"/>
        <v>56595</v>
      </c>
      <c r="BV27" s="127" t="s">
        <v>48</v>
      </c>
      <c r="BW27" s="61">
        <f>SUM(BW4+BW9+BW14+BW20+BW24)</f>
        <v>28729</v>
      </c>
      <c r="BX27" s="61">
        <f>SUM(BX4+BX9+BX14+BX20+BX24)</f>
        <v>27866</v>
      </c>
      <c r="BY27" s="6">
        <f t="shared" si="5"/>
        <v>56595</v>
      </c>
      <c r="BZ27" s="168"/>
      <c r="CA27" s="127" t="s">
        <v>48</v>
      </c>
      <c r="CB27" s="61">
        <f>SUM(CB4+CB9+CB14+CB20+CB24)</f>
        <v>79127</v>
      </c>
      <c r="CC27" s="61">
        <f>SUM(CC4+CC9+CC14+CC20+CC24)</f>
        <v>46388</v>
      </c>
      <c r="CD27" s="61">
        <f>SUM(CD4+CD9+CD14+CD20+CD24)</f>
        <v>3411</v>
      </c>
      <c r="CE27" s="61">
        <f>SUM(CE4+CE9+CE14+CE20+CE24)</f>
        <v>1567</v>
      </c>
      <c r="CF27" s="61">
        <f>SUM(CF4+CF9+CF14+CF20+CF24)</f>
        <v>130493</v>
      </c>
      <c r="CG27" s="168"/>
    </row>
    <row r="28" spans="1:84" ht="15">
      <c r="A28" s="57" t="s">
        <v>273</v>
      </c>
      <c r="B28" s="59"/>
      <c r="C28" s="59"/>
      <c r="D28" s="59"/>
      <c r="E28" s="59"/>
      <c r="F28" s="59"/>
      <c r="G28" s="59"/>
      <c r="H28" s="59"/>
      <c r="I28" s="59"/>
      <c r="J28" s="59"/>
      <c r="K28" s="58" t="s">
        <v>18</v>
      </c>
      <c r="M28" s="57" t="s">
        <v>276</v>
      </c>
      <c r="N28" s="59"/>
      <c r="O28" s="59"/>
      <c r="P28" s="59"/>
      <c r="Q28" s="59"/>
      <c r="R28" s="59"/>
      <c r="S28" s="59"/>
      <c r="T28" s="59"/>
      <c r="U28" s="59"/>
      <c r="V28" s="59"/>
      <c r="W28" s="58" t="s">
        <v>18</v>
      </c>
      <c r="Y28" s="57" t="s">
        <v>282</v>
      </c>
      <c r="Z28" s="59"/>
      <c r="AA28" s="59"/>
      <c r="AB28" s="59"/>
      <c r="AC28" s="59"/>
      <c r="AD28" s="59"/>
      <c r="AE28" s="59"/>
      <c r="AF28" s="59"/>
      <c r="AG28" s="59"/>
      <c r="AH28" s="58" t="s">
        <v>18</v>
      </c>
      <c r="AJ28" s="57" t="s">
        <v>291</v>
      </c>
      <c r="AK28" s="59"/>
      <c r="AL28" s="59"/>
      <c r="AM28" s="59"/>
      <c r="AN28" s="59"/>
      <c r="AO28" s="59"/>
      <c r="AP28" s="58" t="s">
        <v>18</v>
      </c>
      <c r="AQ28" s="59"/>
      <c r="AR28" s="127" t="s">
        <v>48</v>
      </c>
      <c r="AS28" s="61">
        <f>SUM(AS5+AS10+AS15+AS21+AS25)</f>
        <v>84248</v>
      </c>
      <c r="AT28" s="61">
        <f aca="true" t="shared" si="14" ref="AT28:BA28">SUM(AT5+AT10+AT15+AT21+AT25)</f>
        <v>113833</v>
      </c>
      <c r="AU28" s="61">
        <f t="shared" si="14"/>
        <v>20540</v>
      </c>
      <c r="AV28" s="61">
        <f t="shared" si="14"/>
        <v>2040</v>
      </c>
      <c r="AW28" s="61">
        <f t="shared" si="14"/>
        <v>531</v>
      </c>
      <c r="AX28" s="61">
        <f t="shared" si="14"/>
        <v>3248</v>
      </c>
      <c r="AY28" s="61">
        <f t="shared" si="14"/>
        <v>817</v>
      </c>
      <c r="AZ28" s="61">
        <f t="shared" si="14"/>
        <v>1113</v>
      </c>
      <c r="BA28" s="61">
        <f t="shared" si="14"/>
        <v>181</v>
      </c>
      <c r="BB28" s="61">
        <f>SUM(BB5+BB10+BB15+BB21+BB25)</f>
        <v>1275</v>
      </c>
      <c r="BC28" s="61">
        <f>SUM(BC5+BC10+BC15+BC21+BC25)</f>
        <v>5818</v>
      </c>
      <c r="BD28" s="61">
        <f>SUM(BD5+BD10+BD15+BD21+BD25)</f>
        <v>527</v>
      </c>
      <c r="BE28" s="61">
        <f>SUM(BE5+BE10+BE15+BE21+BE25)</f>
        <v>65331</v>
      </c>
      <c r="BF28" s="61">
        <f>SUM(BF5+BF10+BF15+BF21+BF25)</f>
        <v>7493</v>
      </c>
      <c r="BG28" s="65">
        <f t="shared" si="7"/>
        <v>306995</v>
      </c>
      <c r="BI28" s="57" t="s">
        <v>319</v>
      </c>
      <c r="BJ28" s="59"/>
      <c r="BK28" s="59"/>
      <c r="BL28" s="59"/>
      <c r="BM28" s="59"/>
      <c r="BN28" s="59"/>
      <c r="BO28" s="59"/>
      <c r="BP28" s="59"/>
      <c r="BQ28" s="59"/>
      <c r="BR28" s="59"/>
      <c r="BT28" s="58" t="s">
        <v>18</v>
      </c>
      <c r="BV28" s="57" t="s">
        <v>327</v>
      </c>
      <c r="BW28" s="59"/>
      <c r="BX28" s="59"/>
      <c r="BY28" s="58" t="s">
        <v>18</v>
      </c>
      <c r="BZ28" s="59"/>
      <c r="CA28" s="57" t="s">
        <v>335</v>
      </c>
      <c r="CB28" s="59"/>
      <c r="CC28" s="59"/>
      <c r="CE28" s="59"/>
      <c r="CF28" s="58" t="s">
        <v>18</v>
      </c>
    </row>
    <row r="29" spans="1:84" ht="1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8" t="s">
        <v>31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8" t="s">
        <v>31</v>
      </c>
      <c r="Y29" s="59"/>
      <c r="Z29" s="59"/>
      <c r="AA29" s="59"/>
      <c r="AB29" s="59"/>
      <c r="AC29" s="59"/>
      <c r="AD29" s="59"/>
      <c r="AE29" s="59"/>
      <c r="AF29" s="59"/>
      <c r="AG29" s="59"/>
      <c r="AH29" s="58" t="s">
        <v>31</v>
      </c>
      <c r="AJ29" s="59"/>
      <c r="AK29" s="59"/>
      <c r="AL29" s="59"/>
      <c r="AM29" s="59"/>
      <c r="AN29" s="59"/>
      <c r="AO29" s="59"/>
      <c r="AP29" s="58" t="s">
        <v>31</v>
      </c>
      <c r="AQ29" s="59"/>
      <c r="AR29" s="57" t="s">
        <v>305</v>
      </c>
      <c r="AS29" s="59"/>
      <c r="AT29" s="59"/>
      <c r="AU29" s="59"/>
      <c r="AV29" s="59"/>
      <c r="AW29" s="59"/>
      <c r="AX29" s="59"/>
      <c r="AY29" s="59"/>
      <c r="AZ29" s="59"/>
      <c r="BA29" s="59"/>
      <c r="BG29" s="58" t="s">
        <v>18</v>
      </c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T29" s="58" t="s">
        <v>31</v>
      </c>
      <c r="BV29" s="59"/>
      <c r="BW29" s="59"/>
      <c r="BX29" s="59"/>
      <c r="BY29" s="58" t="s">
        <v>31</v>
      </c>
      <c r="BZ29" s="59"/>
      <c r="CA29" s="59"/>
      <c r="CB29" s="59"/>
      <c r="CC29" s="59"/>
      <c r="CE29" s="59"/>
      <c r="CF29" s="58" t="s">
        <v>31</v>
      </c>
    </row>
    <row r="30" spans="1:84" ht="15">
      <c r="A30" s="56" t="s">
        <v>275</v>
      </c>
      <c r="B30" s="59"/>
      <c r="C30" s="59"/>
      <c r="D30" s="59"/>
      <c r="E30" s="59"/>
      <c r="F30" s="59"/>
      <c r="G30" s="59"/>
      <c r="H30" s="59"/>
      <c r="I30" s="59"/>
      <c r="J30" s="59"/>
      <c r="K30" s="159"/>
      <c r="M30" s="56" t="s">
        <v>278</v>
      </c>
      <c r="N30" s="59"/>
      <c r="O30" s="59"/>
      <c r="P30" s="59"/>
      <c r="Q30" s="59"/>
      <c r="R30" s="59"/>
      <c r="S30" s="59"/>
      <c r="T30" s="59"/>
      <c r="U30" s="59"/>
      <c r="V30" s="59"/>
      <c r="W30" s="159"/>
      <c r="Y30" s="56" t="s">
        <v>283</v>
      </c>
      <c r="Z30" s="59"/>
      <c r="AA30" s="59"/>
      <c r="AB30" s="59"/>
      <c r="AC30" s="59"/>
      <c r="AD30" s="59"/>
      <c r="AE30" s="59"/>
      <c r="AF30" s="59"/>
      <c r="AG30" s="59"/>
      <c r="AH30" s="59"/>
      <c r="AJ30" s="56" t="s">
        <v>292</v>
      </c>
      <c r="AK30" s="59"/>
      <c r="AL30" s="59"/>
      <c r="AM30" s="59"/>
      <c r="AN30" s="59"/>
      <c r="AO30" s="59"/>
      <c r="AP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G30" s="58" t="s">
        <v>31</v>
      </c>
      <c r="BI30" s="56" t="s">
        <v>321</v>
      </c>
      <c r="BJ30" s="59"/>
      <c r="BK30" s="59"/>
      <c r="BL30" s="59"/>
      <c r="BM30" s="59"/>
      <c r="BN30" s="59"/>
      <c r="BO30" s="59"/>
      <c r="BP30" s="59"/>
      <c r="BQ30" s="59"/>
      <c r="BR30" s="59"/>
      <c r="BS30" s="159"/>
      <c r="BV30" s="56" t="s">
        <v>328</v>
      </c>
      <c r="BW30" s="59"/>
      <c r="BX30" s="59"/>
      <c r="BY30" s="59"/>
      <c r="CA30" s="56" t="s">
        <v>338</v>
      </c>
      <c r="CB30" s="59"/>
      <c r="CC30" s="59"/>
      <c r="CD30" s="59"/>
      <c r="CE30" s="59"/>
      <c r="CF30" s="159"/>
    </row>
    <row r="31" spans="1:84" ht="15" customHeight="1">
      <c r="A31" s="17" t="s">
        <v>155</v>
      </c>
      <c r="B31" s="263" t="s">
        <v>28</v>
      </c>
      <c r="C31" s="264"/>
      <c r="D31" s="264"/>
      <c r="E31" s="264"/>
      <c r="F31" s="264"/>
      <c r="G31" s="264"/>
      <c r="H31" s="264"/>
      <c r="I31" s="264"/>
      <c r="J31" s="265"/>
      <c r="K31" s="60"/>
      <c r="M31" s="17" t="s">
        <v>155</v>
      </c>
      <c r="N31" s="257" t="s">
        <v>81</v>
      </c>
      <c r="O31" s="256"/>
      <c r="P31" s="256"/>
      <c r="Q31" s="256"/>
      <c r="R31" s="256"/>
      <c r="S31" s="256"/>
      <c r="T31" s="256"/>
      <c r="U31" s="256"/>
      <c r="V31" s="259"/>
      <c r="W31" s="60"/>
      <c r="Y31" s="17" t="s">
        <v>155</v>
      </c>
      <c r="Z31" s="177"/>
      <c r="AA31" s="279" t="s">
        <v>280</v>
      </c>
      <c r="AB31" s="279"/>
      <c r="AC31" s="279"/>
      <c r="AD31" s="279"/>
      <c r="AE31" s="279"/>
      <c r="AF31" s="279"/>
      <c r="AG31" s="54"/>
      <c r="AH31" s="90"/>
      <c r="AJ31" s="17" t="s">
        <v>155</v>
      </c>
      <c r="AK31" s="177"/>
      <c r="AL31" s="263" t="s">
        <v>290</v>
      </c>
      <c r="AM31" s="271"/>
      <c r="AN31" s="272"/>
      <c r="AO31" s="54"/>
      <c r="AP31" s="90"/>
      <c r="AR31" s="56" t="s">
        <v>306</v>
      </c>
      <c r="AS31" s="59"/>
      <c r="AT31" s="59"/>
      <c r="AU31" s="59"/>
      <c r="AV31" s="59"/>
      <c r="AW31" s="59"/>
      <c r="AX31" s="59"/>
      <c r="AY31" s="59"/>
      <c r="AZ31" s="59"/>
      <c r="BA31" s="59"/>
      <c r="BI31" s="17" t="s">
        <v>155</v>
      </c>
      <c r="BJ31" s="279" t="s">
        <v>318</v>
      </c>
      <c r="BK31" s="279"/>
      <c r="BL31" s="279"/>
      <c r="BM31" s="279"/>
      <c r="BN31" s="279"/>
      <c r="BO31" s="279"/>
      <c r="BP31" s="279"/>
      <c r="BQ31" s="279"/>
      <c r="BR31" s="279"/>
      <c r="BS31" s="280"/>
      <c r="BT31" s="60"/>
      <c r="BV31" s="254" t="s">
        <v>155</v>
      </c>
      <c r="BW31" s="263" t="s">
        <v>325</v>
      </c>
      <c r="BX31" s="264"/>
      <c r="BY31" s="90"/>
      <c r="CA31" s="17" t="s">
        <v>155</v>
      </c>
      <c r="CB31" s="266" t="s">
        <v>334</v>
      </c>
      <c r="CC31" s="264"/>
      <c r="CD31" s="271"/>
      <c r="CE31" s="272"/>
      <c r="CF31" s="90"/>
    </row>
    <row r="32" spans="1:84" ht="15">
      <c r="A32" s="66"/>
      <c r="B32" s="15" t="s">
        <v>178</v>
      </c>
      <c r="C32" s="108" t="s">
        <v>179</v>
      </c>
      <c r="D32" s="109" t="s">
        <v>180</v>
      </c>
      <c r="E32" s="110" t="s">
        <v>181</v>
      </c>
      <c r="F32" s="2" t="s">
        <v>182</v>
      </c>
      <c r="G32" s="2" t="s">
        <v>183</v>
      </c>
      <c r="H32" s="2" t="s">
        <v>184</v>
      </c>
      <c r="I32" s="2" t="s">
        <v>185</v>
      </c>
      <c r="J32" s="51" t="s">
        <v>186</v>
      </c>
      <c r="K32" s="91" t="s">
        <v>20</v>
      </c>
      <c r="M32" s="66"/>
      <c r="N32" s="15" t="s">
        <v>82</v>
      </c>
      <c r="O32" s="2" t="s">
        <v>83</v>
      </c>
      <c r="P32" s="2" t="s">
        <v>84</v>
      </c>
      <c r="Q32" s="2" t="s">
        <v>85</v>
      </c>
      <c r="R32" s="2" t="s">
        <v>86</v>
      </c>
      <c r="S32" s="2" t="s">
        <v>87</v>
      </c>
      <c r="T32" s="2" t="s">
        <v>197</v>
      </c>
      <c r="U32" s="2" t="s">
        <v>89</v>
      </c>
      <c r="V32" s="2" t="s">
        <v>198</v>
      </c>
      <c r="W32" s="91" t="s">
        <v>20</v>
      </c>
      <c r="Y32" s="66"/>
      <c r="Z32" s="92" t="s">
        <v>33</v>
      </c>
      <c r="AA32" s="2" t="s">
        <v>97</v>
      </c>
      <c r="AB32" s="2" t="s">
        <v>22</v>
      </c>
      <c r="AC32" s="2" t="s">
        <v>23</v>
      </c>
      <c r="AD32" s="2" t="s">
        <v>24</v>
      </c>
      <c r="AE32" s="2" t="s">
        <v>25</v>
      </c>
      <c r="AF32" s="2" t="s">
        <v>59</v>
      </c>
      <c r="AG32" s="93" t="s">
        <v>279</v>
      </c>
      <c r="AH32" s="91" t="s">
        <v>20</v>
      </c>
      <c r="AJ32" s="66"/>
      <c r="AK32" s="92" t="s">
        <v>284</v>
      </c>
      <c r="AL32" s="2" t="s">
        <v>285</v>
      </c>
      <c r="AM32" s="2" t="s">
        <v>286</v>
      </c>
      <c r="AN32" s="51" t="s">
        <v>287</v>
      </c>
      <c r="AO32" s="93" t="s">
        <v>288</v>
      </c>
      <c r="AP32" s="91" t="s">
        <v>48</v>
      </c>
      <c r="AR32" s="17" t="s">
        <v>155</v>
      </c>
      <c r="AS32" s="256" t="s">
        <v>303</v>
      </c>
      <c r="AT32" s="256"/>
      <c r="AU32" s="256"/>
      <c r="AV32" s="256"/>
      <c r="AW32" s="256"/>
      <c r="AX32" s="256"/>
      <c r="AY32" s="256"/>
      <c r="AZ32" s="256"/>
      <c r="BA32" s="256"/>
      <c r="BB32" s="277"/>
      <c r="BC32" s="277"/>
      <c r="BD32" s="277"/>
      <c r="BE32" s="277"/>
      <c r="BF32" s="278"/>
      <c r="BG32" s="142"/>
      <c r="BI32" s="66"/>
      <c r="BJ32" s="15" t="s">
        <v>308</v>
      </c>
      <c r="BK32" s="2" t="s">
        <v>309</v>
      </c>
      <c r="BL32" s="2" t="s">
        <v>310</v>
      </c>
      <c r="BM32" s="2" t="s">
        <v>311</v>
      </c>
      <c r="BN32" s="2" t="s">
        <v>312</v>
      </c>
      <c r="BO32" s="2" t="s">
        <v>313</v>
      </c>
      <c r="BP32" s="2" t="s">
        <v>314</v>
      </c>
      <c r="BQ32" s="2" t="s">
        <v>315</v>
      </c>
      <c r="BR32" s="2" t="s">
        <v>316</v>
      </c>
      <c r="BS32" s="2" t="s">
        <v>317</v>
      </c>
      <c r="BT32" s="91" t="s">
        <v>20</v>
      </c>
      <c r="BV32" s="267"/>
      <c r="BW32" s="2" t="s">
        <v>323</v>
      </c>
      <c r="BX32" s="2" t="s">
        <v>324</v>
      </c>
      <c r="BY32" s="91" t="s">
        <v>20</v>
      </c>
      <c r="CA32" s="66"/>
      <c r="CB32" s="15" t="s">
        <v>330</v>
      </c>
      <c r="CC32" s="2" t="s">
        <v>331</v>
      </c>
      <c r="CD32" s="2" t="s">
        <v>332</v>
      </c>
      <c r="CE32" s="2" t="s">
        <v>333</v>
      </c>
      <c r="CF32" s="91" t="s">
        <v>20</v>
      </c>
    </row>
    <row r="33" spans="1:84" ht="15">
      <c r="A33" s="82" t="s">
        <v>132</v>
      </c>
      <c r="B33" s="116">
        <f aca="true" t="shared" si="15" ref="B33:K33">(B4/B27)*100</f>
        <v>60.1037413089063</v>
      </c>
      <c r="C33" s="116">
        <f t="shared" si="15"/>
        <v>51.14483132366888</v>
      </c>
      <c r="D33" s="116">
        <f t="shared" si="15"/>
        <v>51.63353670537296</v>
      </c>
      <c r="E33" s="116">
        <f t="shared" si="15"/>
        <v>75.34829939646906</v>
      </c>
      <c r="F33" s="116">
        <f t="shared" si="15"/>
        <v>78.09320666283101</v>
      </c>
      <c r="G33" s="116">
        <f t="shared" si="15"/>
        <v>70.54278824860981</v>
      </c>
      <c r="H33" s="116">
        <f t="shared" si="15"/>
        <v>72.62077911867605</v>
      </c>
      <c r="I33" s="116">
        <f t="shared" si="15"/>
        <v>76.24673344947736</v>
      </c>
      <c r="J33" s="151">
        <f t="shared" si="15"/>
        <v>75.00651007760013</v>
      </c>
      <c r="K33" s="163">
        <f t="shared" si="15"/>
        <v>71.40702617306471</v>
      </c>
      <c r="M33" s="82" t="s">
        <v>132</v>
      </c>
      <c r="N33" s="76">
        <f>(N4/N27)*100</f>
        <v>78.38427947598254</v>
      </c>
      <c r="O33" s="76">
        <f aca="true" t="shared" si="16" ref="O33:W33">(O4/O27)*100</f>
        <v>28.826728826728825</v>
      </c>
      <c r="P33" s="76">
        <f t="shared" si="16"/>
        <v>2.108990147783251</v>
      </c>
      <c r="Q33" s="76">
        <f t="shared" si="16"/>
        <v>89.85776128633272</v>
      </c>
      <c r="R33" s="76">
        <f t="shared" si="16"/>
        <v>8.47005576658854</v>
      </c>
      <c r="S33" s="76">
        <f t="shared" si="16"/>
        <v>4.567307692307692</v>
      </c>
      <c r="T33" s="76">
        <f t="shared" si="16"/>
        <v>62.12003117692907</v>
      </c>
      <c r="U33" s="76">
        <f t="shared" si="16"/>
        <v>84.2228668116993</v>
      </c>
      <c r="V33" s="76">
        <f t="shared" si="16"/>
        <v>69.75162748268856</v>
      </c>
      <c r="W33" s="76">
        <f t="shared" si="16"/>
        <v>71.40702617306471</v>
      </c>
      <c r="Y33" s="82" t="s">
        <v>132</v>
      </c>
      <c r="Z33" s="76">
        <f>(Z4/Z27)*100</f>
        <v>79.46044289443711</v>
      </c>
      <c r="AA33" s="76">
        <f aca="true" t="shared" si="17" ref="AA33:AH33">(AA4/AA27)*100</f>
        <v>44.986449864498645</v>
      </c>
      <c r="AB33" s="76">
        <f t="shared" si="17"/>
        <v>62.01300490439191</v>
      </c>
      <c r="AC33" s="76">
        <f t="shared" si="17"/>
        <v>62.700077271221986</v>
      </c>
      <c r="AD33" s="76">
        <f t="shared" si="17"/>
        <v>46.82431111979676</v>
      </c>
      <c r="AE33" s="76">
        <f t="shared" si="17"/>
        <v>43.32825976661593</v>
      </c>
      <c r="AF33" s="76">
        <f t="shared" si="17"/>
        <v>36.88663282571912</v>
      </c>
      <c r="AG33" s="76">
        <f t="shared" si="17"/>
        <v>56.68904792167482</v>
      </c>
      <c r="AH33" s="79">
        <f t="shared" si="17"/>
        <v>71.40702617306471</v>
      </c>
      <c r="AJ33" s="82" t="s">
        <v>132</v>
      </c>
      <c r="AK33" s="76">
        <f>(AK4/AP4)*100</f>
        <v>93.95755784249324</v>
      </c>
      <c r="AL33" s="76">
        <f>(AL4/AP4)*100</f>
        <v>4.131085322239253</v>
      </c>
      <c r="AM33" s="76">
        <f>(AM4/AP4)*100</f>
        <v>0.7545069702941392</v>
      </c>
      <c r="AN33" s="76">
        <f>(AN4/AP4)*100</f>
        <v>1.1568498649733596</v>
      </c>
      <c r="AO33" s="179">
        <f>(AO4/AP4)*100</f>
        <v>6.042442157506751</v>
      </c>
      <c r="AP33" s="180">
        <f>AK33+AL33+AM33+AN33</f>
        <v>100</v>
      </c>
      <c r="AR33" s="83"/>
      <c r="AS33" s="239" t="s">
        <v>293</v>
      </c>
      <c r="AT33" s="239" t="s">
        <v>294</v>
      </c>
      <c r="AU33" s="239" t="s">
        <v>295</v>
      </c>
      <c r="AV33" s="239" t="s">
        <v>296</v>
      </c>
      <c r="AW33" s="239" t="s">
        <v>297</v>
      </c>
      <c r="AX33" s="239" t="s">
        <v>298</v>
      </c>
      <c r="AY33" s="239" t="s">
        <v>299</v>
      </c>
      <c r="AZ33" s="239" t="s">
        <v>300</v>
      </c>
      <c r="BA33" s="239" t="s">
        <v>301</v>
      </c>
      <c r="BB33" s="239" t="s">
        <v>92</v>
      </c>
      <c r="BC33" s="239" t="s">
        <v>302</v>
      </c>
      <c r="BD33" s="239" t="s">
        <v>94</v>
      </c>
      <c r="BE33" s="239" t="s">
        <v>177</v>
      </c>
      <c r="BF33" s="241" t="s">
        <v>95</v>
      </c>
      <c r="BG33" s="275" t="s">
        <v>20</v>
      </c>
      <c r="BI33" s="82" t="s">
        <v>132</v>
      </c>
      <c r="BJ33" s="121">
        <f>(BJ4/BT4)*100</f>
        <v>28.3312844849767</v>
      </c>
      <c r="BK33" s="121">
        <f>(BK4/BT4)*100</f>
        <v>14.039852482918322</v>
      </c>
      <c r="BL33" s="121">
        <f>(BL4/BT4)*100</f>
        <v>16.306927013350865</v>
      </c>
      <c r="BM33" s="121">
        <f>(BM4/BT4)*100</f>
        <v>9.088310128934504</v>
      </c>
      <c r="BN33" s="121">
        <f>(BN4/BT4)*100</f>
        <v>8.58800994882644</v>
      </c>
      <c r="BO33" s="121">
        <f>(BO4/BT4)*100</f>
        <v>11.586952171302782</v>
      </c>
      <c r="BP33" s="121">
        <f>(BP4/BT4)*100</f>
        <v>3.4563595300037164</v>
      </c>
      <c r="BQ33" s="121">
        <f>(BQ4/BT4)*100</f>
        <v>3.333428628605735</v>
      </c>
      <c r="BR33" s="116">
        <f>(BR4/BT4)*100</f>
        <v>3.0218130878527116</v>
      </c>
      <c r="BS33" s="155">
        <f>(BS4/BT4)*100</f>
        <v>2.2470625232282226</v>
      </c>
      <c r="BT33" s="165">
        <f>SUM(BJ33:BS33)</f>
        <v>99.99999999999999</v>
      </c>
      <c r="BV33" s="67" t="s">
        <v>132</v>
      </c>
      <c r="BW33" s="179">
        <f>(BW4/BW27)*100</f>
        <v>56.88328866302342</v>
      </c>
      <c r="BX33" s="179">
        <f>(BX4/BX27)*100</f>
        <v>56.175985071413194</v>
      </c>
      <c r="BY33" s="87">
        <f>(BY4/BY27)*100</f>
        <v>56.535029596254084</v>
      </c>
      <c r="CA33" s="203" t="s">
        <v>132</v>
      </c>
      <c r="CB33" s="76">
        <f>(CB4/CF4)*100</f>
        <v>64.25817721823987</v>
      </c>
      <c r="CC33" s="76">
        <f>(CC4/CF4)*100</f>
        <v>33.747966989940366</v>
      </c>
      <c r="CD33" s="76">
        <f>(CD4/CF4)*100</f>
        <v>1.4015219966668675</v>
      </c>
      <c r="CE33" s="76">
        <f>(CE4/CF4)*100</f>
        <v>0.5923337951529025</v>
      </c>
      <c r="CF33" s="79">
        <f>CB33+CC33+CD33+CE33</f>
        <v>100</v>
      </c>
    </row>
    <row r="34" spans="1:84" ht="15">
      <c r="A34" s="3" t="s">
        <v>254</v>
      </c>
      <c r="B34" s="13">
        <f aca="true" t="shared" si="18" ref="B34:K34">(B5/B27)*100</f>
        <v>48.41077143803113</v>
      </c>
      <c r="C34" s="13">
        <f t="shared" si="18"/>
        <v>42.50101612247663</v>
      </c>
      <c r="D34" s="13">
        <f t="shared" si="18"/>
        <v>44.10549104506987</v>
      </c>
      <c r="E34" s="13">
        <f t="shared" si="18"/>
        <v>53.711433244965875</v>
      </c>
      <c r="F34" s="13">
        <f t="shared" si="18"/>
        <v>51.45872216219251</v>
      </c>
      <c r="G34" s="13">
        <f t="shared" si="18"/>
        <v>53.42502829585158</v>
      </c>
      <c r="H34" s="13">
        <f t="shared" si="18"/>
        <v>60.419041628994854</v>
      </c>
      <c r="I34" s="13">
        <f t="shared" si="18"/>
        <v>63.83384146341463</v>
      </c>
      <c r="J34" s="152">
        <f t="shared" si="18"/>
        <v>61.814488828706835</v>
      </c>
      <c r="K34" s="14">
        <f t="shared" si="18"/>
        <v>53.336047818368385</v>
      </c>
      <c r="M34" s="3" t="s">
        <v>254</v>
      </c>
      <c r="N34" s="11">
        <f>(N5/N27)*100</f>
        <v>56.603727166492405</v>
      </c>
      <c r="O34" s="11">
        <f aca="true" t="shared" si="19" ref="O34:W34">(O5/O27)*100</f>
        <v>19.34731934731935</v>
      </c>
      <c r="P34" s="11">
        <f t="shared" si="19"/>
        <v>1.1699507389162562</v>
      </c>
      <c r="Q34" s="11">
        <f t="shared" si="19"/>
        <v>65.86270871985158</v>
      </c>
      <c r="R34" s="11">
        <f t="shared" si="19"/>
        <v>2.820657884102481</v>
      </c>
      <c r="S34" s="11">
        <f t="shared" si="19"/>
        <v>3.4855769230769234</v>
      </c>
      <c r="T34" s="11">
        <f t="shared" si="19"/>
        <v>44.89477786438036</v>
      </c>
      <c r="U34" s="11">
        <f t="shared" si="19"/>
        <v>68.03722504230119</v>
      </c>
      <c r="V34" s="11">
        <f t="shared" si="19"/>
        <v>51.71041174275407</v>
      </c>
      <c r="W34" s="11">
        <f t="shared" si="19"/>
        <v>53.336047818368385</v>
      </c>
      <c r="Y34" s="3" t="s">
        <v>254</v>
      </c>
      <c r="Z34" s="11">
        <f>(Z5/Z27)*100</f>
        <v>75.72295410791142</v>
      </c>
      <c r="AA34" s="11">
        <f aca="true" t="shared" si="20" ref="AA34:AH34">(AA5/AA27)*100</f>
        <v>24.738675958188153</v>
      </c>
      <c r="AB34" s="11">
        <f t="shared" si="20"/>
        <v>10.241362208629527</v>
      </c>
      <c r="AC34" s="11">
        <f t="shared" si="20"/>
        <v>8.657136549288001</v>
      </c>
      <c r="AD34" s="11">
        <f t="shared" si="20"/>
        <v>6.6640609732265</v>
      </c>
      <c r="AE34" s="11">
        <f t="shared" si="20"/>
        <v>8.320649416539826</v>
      </c>
      <c r="AF34" s="11">
        <f t="shared" si="20"/>
        <v>6.260575296108291</v>
      </c>
      <c r="AG34" s="11">
        <f t="shared" si="20"/>
        <v>12.422978088475036</v>
      </c>
      <c r="AH34" s="12">
        <f t="shared" si="20"/>
        <v>53.336047818368385</v>
      </c>
      <c r="AJ34" s="3" t="s">
        <v>254</v>
      </c>
      <c r="AK34" s="62">
        <f aca="true" t="shared" si="21" ref="AK34:AK56">(AK5/AP5)*100</f>
        <v>93.29848111934237</v>
      </c>
      <c r="AL34" s="62">
        <f aca="true" t="shared" si="22" ref="AL34:AL56">(AL5/AP5)*100</f>
        <v>4.672680302188239</v>
      </c>
      <c r="AM34" s="62">
        <f aca="true" t="shared" si="23" ref="AM34:AM56">(AM5/AP5)*100</f>
        <v>0.7792889904054624</v>
      </c>
      <c r="AN34" s="62">
        <f aca="true" t="shared" si="24" ref="AN34:AN56">(AN5/AP5)*100</f>
        <v>1.2495495880639311</v>
      </c>
      <c r="AO34" s="139">
        <f aca="true" t="shared" si="25" ref="AO34:AO56">(AO5/AP5)*100</f>
        <v>6.701518880657632</v>
      </c>
      <c r="AP34" s="181">
        <f aca="true" t="shared" si="26" ref="AP34:AP56">AK34+AL34+AM34+AN34</f>
        <v>100</v>
      </c>
      <c r="AR34" s="182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4"/>
      <c r="BG34" s="276"/>
      <c r="BI34" s="3" t="s">
        <v>254</v>
      </c>
      <c r="BJ34" s="191">
        <f aca="true" t="shared" si="27" ref="BJ34:BJ56">(BJ5/BT5)*100</f>
        <v>27.345700349502632</v>
      </c>
      <c r="BK34" s="191">
        <f aca="true" t="shared" si="28" ref="BK34:BK56">(BK5/BT5)*100</f>
        <v>13.718938433767331</v>
      </c>
      <c r="BL34" s="191">
        <f aca="true" t="shared" si="29" ref="BL34:BL56">(BL5/BT5)*100</f>
        <v>16.19618235587817</v>
      </c>
      <c r="BM34" s="191">
        <f aca="true" t="shared" si="30" ref="BM34:BM56">(BM5/BT5)*100</f>
        <v>9.133156661673771</v>
      </c>
      <c r="BN34" s="191">
        <f aca="true" t="shared" si="31" ref="BN34:BN56">(BN5/BT5)*100</f>
        <v>8.78365403080232</v>
      </c>
      <c r="BO34" s="191">
        <f aca="true" t="shared" si="32" ref="BO34:BO56">(BO5/BT5)*100</f>
        <v>11.982947344164074</v>
      </c>
      <c r="BP34" s="191">
        <f aca="true" t="shared" si="33" ref="BP34:BP56">(BP5/BT5)*100</f>
        <v>3.6486538387679075</v>
      </c>
      <c r="BQ34" s="191">
        <f aca="true" t="shared" si="34" ref="BQ34:BQ56">(BQ5/BT5)*100</f>
        <v>3.518070438222529</v>
      </c>
      <c r="BR34" s="192">
        <f aca="true" t="shared" si="35" ref="BR34:BR56">(BR5/BT5)*100</f>
        <v>3.322195337404463</v>
      </c>
      <c r="BS34" s="193">
        <f aca="true" t="shared" si="36" ref="BS34:BS56">(BS5/BT5)*100</f>
        <v>2.3505012098167994</v>
      </c>
      <c r="BT34" s="194">
        <f aca="true" t="shared" si="37" ref="BT34:BT56">SUM(BJ34:BS34)</f>
        <v>100</v>
      </c>
      <c r="BV34" s="3" t="s">
        <v>254</v>
      </c>
      <c r="BW34" s="11">
        <f>(BW5/BW27)*100</f>
        <v>46.315569633471405</v>
      </c>
      <c r="BX34" s="11">
        <f>(BX5/BX27)*100</f>
        <v>45.801334960166514</v>
      </c>
      <c r="BY34" s="12">
        <f>(BY5/BY27)*100</f>
        <v>46.06237300114851</v>
      </c>
      <c r="CA34" s="3" t="s">
        <v>254</v>
      </c>
      <c r="CB34" s="62">
        <f aca="true" t="shared" si="38" ref="CB34:CB56">(CB5/CF5)*100</f>
        <v>68.1437125748503</v>
      </c>
      <c r="CC34" s="62">
        <f aca="true" t="shared" si="39" ref="CC34:CC56">(CC5/CF5)*100</f>
        <v>30.607356715141147</v>
      </c>
      <c r="CD34" s="62">
        <f aca="true" t="shared" si="40" ref="CD34:CD56">(CD5/CF5)*100</f>
        <v>0.9199184049483451</v>
      </c>
      <c r="CE34" s="62">
        <f aca="true" t="shared" si="41" ref="CE34:CE56">(CE5/CF5)*100</f>
        <v>0.3290123050602093</v>
      </c>
      <c r="CF34" s="63">
        <f aca="true" t="shared" si="42" ref="CF34:CF56">CB34+CC34+CD34+CE34</f>
        <v>100</v>
      </c>
    </row>
    <row r="35" spans="1:84" ht="15">
      <c r="A35" s="3" t="s">
        <v>255</v>
      </c>
      <c r="B35" s="13">
        <f aca="true" t="shared" si="43" ref="B35:K35">(B6/B27)*100</f>
        <v>0.8139278225361439</v>
      </c>
      <c r="C35" s="13">
        <f t="shared" si="43"/>
        <v>0.575802736756537</v>
      </c>
      <c r="D35" s="13">
        <f t="shared" si="43"/>
        <v>0.7774060224365282</v>
      </c>
      <c r="E35" s="13">
        <f t="shared" si="43"/>
        <v>2.2843928027525524</v>
      </c>
      <c r="F35" s="13">
        <f t="shared" si="43"/>
        <v>2.462777676428902</v>
      </c>
      <c r="G35" s="13">
        <f t="shared" si="43"/>
        <v>2.455587815560258</v>
      </c>
      <c r="H35" s="13">
        <f t="shared" si="43"/>
        <v>3.054365344549707</v>
      </c>
      <c r="I35" s="13">
        <f t="shared" si="43"/>
        <v>4.790940766550523</v>
      </c>
      <c r="J35" s="152">
        <f t="shared" si="43"/>
        <v>6.119472944117494</v>
      </c>
      <c r="K35" s="14">
        <f t="shared" si="43"/>
        <v>2.4964575970292677</v>
      </c>
      <c r="M35" s="3" t="s">
        <v>255</v>
      </c>
      <c r="N35" s="11">
        <f>(N6/N27)*100</f>
        <v>3.636755027984501</v>
      </c>
      <c r="O35" s="11">
        <f aca="true" t="shared" si="44" ref="O35:W35">(O6/O27)*100</f>
        <v>0.8158508158508158</v>
      </c>
      <c r="P35" s="11">
        <f t="shared" si="44"/>
        <v>0.03078817733990148</v>
      </c>
      <c r="Q35" s="11">
        <f t="shared" si="44"/>
        <v>0.49474335188620905</v>
      </c>
      <c r="R35" s="11">
        <f t="shared" si="44"/>
        <v>0.16972439990301463</v>
      </c>
      <c r="S35" s="11">
        <f t="shared" si="44"/>
        <v>0.1201923076923077</v>
      </c>
      <c r="T35" s="11">
        <f t="shared" si="44"/>
        <v>2.1044427123928293</v>
      </c>
      <c r="U35" s="11">
        <f t="shared" si="44"/>
        <v>1.310128112158569</v>
      </c>
      <c r="V35" s="11">
        <f t="shared" si="44"/>
        <v>2.3468922336940747</v>
      </c>
      <c r="W35" s="11">
        <f t="shared" si="44"/>
        <v>2.4964575970292677</v>
      </c>
      <c r="Y35" s="3" t="s">
        <v>255</v>
      </c>
      <c r="Z35" s="11">
        <f>(Z6/Z27)*100</f>
        <v>1.091612825190755</v>
      </c>
      <c r="AA35" s="11">
        <f aca="true" t="shared" si="45" ref="AA35:AH35">(AA6/AA27)*100</f>
        <v>3.368176538908246</v>
      </c>
      <c r="AB35" s="11">
        <f t="shared" si="45"/>
        <v>7.422714498264176</v>
      </c>
      <c r="AC35" s="11">
        <f t="shared" si="45"/>
        <v>4.564521470360967</v>
      </c>
      <c r="AD35" s="11">
        <f t="shared" si="45"/>
        <v>2.4232948993550907</v>
      </c>
      <c r="AE35" s="11">
        <f t="shared" si="45"/>
        <v>4.10958904109589</v>
      </c>
      <c r="AF35" s="11">
        <f t="shared" si="45"/>
        <v>6.429780033840947</v>
      </c>
      <c r="AG35" s="11">
        <f t="shared" si="45"/>
        <v>5.063874075506802</v>
      </c>
      <c r="AH35" s="12">
        <f t="shared" si="45"/>
        <v>2.4964575970292677</v>
      </c>
      <c r="AJ35" s="3" t="s">
        <v>255</v>
      </c>
      <c r="AK35" s="62">
        <f t="shared" si="21"/>
        <v>92.74530271398747</v>
      </c>
      <c r="AL35" s="62">
        <f t="shared" si="22"/>
        <v>4.579853862212944</v>
      </c>
      <c r="AM35" s="62">
        <f t="shared" si="23"/>
        <v>0.8220250521920668</v>
      </c>
      <c r="AN35" s="62">
        <f t="shared" si="24"/>
        <v>1.8528183716075157</v>
      </c>
      <c r="AO35" s="139">
        <f t="shared" si="25"/>
        <v>7.254697286012527</v>
      </c>
      <c r="AP35" s="181">
        <f t="shared" si="26"/>
        <v>99.99999999999999</v>
      </c>
      <c r="AR35" s="82" t="s">
        <v>132</v>
      </c>
      <c r="AS35" s="179">
        <f>(AS5/AS28)*100</f>
        <v>49.97507359225145</v>
      </c>
      <c r="AT35" s="179">
        <f aca="true" t="shared" si="46" ref="AT35:BG35">(AT5/AT28)*100</f>
        <v>85.97067634165839</v>
      </c>
      <c r="AU35" s="179">
        <f t="shared" si="46"/>
        <v>84.90749756572541</v>
      </c>
      <c r="AV35" s="179">
        <f t="shared" si="46"/>
        <v>96.22549019607844</v>
      </c>
      <c r="AW35" s="179">
        <f t="shared" si="46"/>
        <v>96.23352165725048</v>
      </c>
      <c r="AX35" s="179">
        <f t="shared" si="46"/>
        <v>96.70566502463053</v>
      </c>
      <c r="AY35" s="179">
        <f t="shared" si="46"/>
        <v>98.28641370869033</v>
      </c>
      <c r="AZ35" s="179">
        <f t="shared" si="46"/>
        <v>97.48427672955975</v>
      </c>
      <c r="BA35" s="179">
        <f t="shared" si="46"/>
        <v>97.23756906077348</v>
      </c>
      <c r="BB35" s="179">
        <f t="shared" si="46"/>
        <v>90.19607843137256</v>
      </c>
      <c r="BC35" s="179">
        <f t="shared" si="46"/>
        <v>96.459264352011</v>
      </c>
      <c r="BD35" s="179">
        <f t="shared" si="46"/>
        <v>90.89184060721063</v>
      </c>
      <c r="BE35" s="179">
        <f t="shared" si="46"/>
        <v>64.37219696621817</v>
      </c>
      <c r="BF35" s="179">
        <f t="shared" si="46"/>
        <v>64.52689176564795</v>
      </c>
      <c r="BG35" s="87">
        <f t="shared" si="46"/>
        <v>71.40702617306471</v>
      </c>
      <c r="BI35" s="3" t="s">
        <v>255</v>
      </c>
      <c r="BJ35" s="191">
        <f t="shared" si="27"/>
        <v>26.84903748733536</v>
      </c>
      <c r="BK35" s="191">
        <f t="shared" si="28"/>
        <v>13.171225937183383</v>
      </c>
      <c r="BL35" s="191">
        <f t="shared" si="29"/>
        <v>16.210739614994935</v>
      </c>
      <c r="BM35" s="191">
        <f t="shared" si="30"/>
        <v>7.497467071935157</v>
      </c>
      <c r="BN35" s="191">
        <f t="shared" si="31"/>
        <v>9.422492401215806</v>
      </c>
      <c r="BO35" s="191">
        <f t="shared" si="32"/>
        <v>13.37386018237082</v>
      </c>
      <c r="BP35" s="191">
        <f t="shared" si="33"/>
        <v>4.356636271529888</v>
      </c>
      <c r="BQ35" s="191">
        <f t="shared" si="34"/>
        <v>3.7487335359675784</v>
      </c>
      <c r="BR35" s="192">
        <f t="shared" si="35"/>
        <v>2.532928064842958</v>
      </c>
      <c r="BS35" s="193">
        <f t="shared" si="36"/>
        <v>2.8368794326241136</v>
      </c>
      <c r="BT35" s="194">
        <f t="shared" si="37"/>
        <v>100.00000000000001</v>
      </c>
      <c r="BV35" s="3" t="s">
        <v>255</v>
      </c>
      <c r="BW35" s="11">
        <f>(BW6/BW27)*100</f>
        <v>0.6926798705141146</v>
      </c>
      <c r="BX35" s="11">
        <f>(BX6/BX27)*100</f>
        <v>0.7679609560037322</v>
      </c>
      <c r="BY35" s="12">
        <f>(BY6/BY27)*100</f>
        <v>0.7297464440321583</v>
      </c>
      <c r="CA35" s="3" t="s">
        <v>255</v>
      </c>
      <c r="CB35" s="62">
        <f t="shared" si="38"/>
        <v>70.49141782271337</v>
      </c>
      <c r="CC35" s="62">
        <f t="shared" si="39"/>
        <v>27.909710792381848</v>
      </c>
      <c r="CD35" s="62">
        <f t="shared" si="40"/>
        <v>0.9875382083235363</v>
      </c>
      <c r="CE35" s="62">
        <f t="shared" si="41"/>
        <v>0.6113331765812368</v>
      </c>
      <c r="CF35" s="63">
        <f t="shared" si="42"/>
        <v>100</v>
      </c>
    </row>
    <row r="36" spans="1:84" ht="15">
      <c r="A36" s="3" t="s">
        <v>256</v>
      </c>
      <c r="B36" s="13">
        <f aca="true" t="shared" si="47" ref="B36:K36">(B7/B27)*100</f>
        <v>0.05242246992605673</v>
      </c>
      <c r="C36" s="13">
        <f t="shared" si="47"/>
        <v>0.09483809781872375</v>
      </c>
      <c r="D36" s="13">
        <f t="shared" si="47"/>
        <v>0.04920291281243849</v>
      </c>
      <c r="E36" s="13">
        <f t="shared" si="47"/>
        <v>0.0578148795758362</v>
      </c>
      <c r="F36" s="13">
        <f t="shared" si="47"/>
        <v>0.03508230308303279</v>
      </c>
      <c r="G36" s="13">
        <f t="shared" si="47"/>
        <v>0.059052211997441074</v>
      </c>
      <c r="H36" s="13">
        <f t="shared" si="47"/>
        <v>0.07075749832933685</v>
      </c>
      <c r="I36" s="13">
        <f t="shared" si="47"/>
        <v>0.05444250871080139</v>
      </c>
      <c r="J36" s="152">
        <f t="shared" si="47"/>
        <v>0.03645643456069996</v>
      </c>
      <c r="K36" s="14">
        <f t="shared" si="47"/>
        <v>0.05309532728546068</v>
      </c>
      <c r="M36" s="3" t="s">
        <v>256</v>
      </c>
      <c r="N36" s="11">
        <f>(N7/N27)*100</f>
        <v>0.05535395780798327</v>
      </c>
      <c r="O36" s="11">
        <f aca="true" t="shared" si="48" ref="O36:W36">(O7/O27)*100</f>
        <v>0.2331002331002331</v>
      </c>
      <c r="P36" s="11">
        <f t="shared" si="48"/>
        <v>0.03078817733990148</v>
      </c>
      <c r="Q36" s="11">
        <f t="shared" si="48"/>
        <v>0.06184291898577613</v>
      </c>
      <c r="R36" s="11">
        <f t="shared" si="48"/>
        <v>0.004041057140547967</v>
      </c>
      <c r="S36" s="11">
        <f t="shared" si="48"/>
        <v>0</v>
      </c>
      <c r="T36" s="11">
        <f t="shared" si="48"/>
        <v>0.23382696804364772</v>
      </c>
      <c r="U36" s="11">
        <f t="shared" si="48"/>
        <v>0.049552816050277976</v>
      </c>
      <c r="V36" s="11">
        <f t="shared" si="48"/>
        <v>0.07878260148443007</v>
      </c>
      <c r="W36" s="11">
        <f t="shared" si="48"/>
        <v>0.05309532728546068</v>
      </c>
      <c r="Y36" s="3" t="s">
        <v>256</v>
      </c>
      <c r="Z36" s="11">
        <f>(Z7/Z27)*100</f>
        <v>0.056445353841811895</v>
      </c>
      <c r="AA36" s="11">
        <f aca="true" t="shared" si="49" ref="AA36:AH36">(AA7/AA27)*100</f>
        <v>0.043016303178904806</v>
      </c>
      <c r="AB36" s="11">
        <f t="shared" si="49"/>
        <v>0.060616079792803215</v>
      </c>
      <c r="AC36" s="11">
        <f t="shared" si="49"/>
        <v>0.030356551495750086</v>
      </c>
      <c r="AD36" s="11">
        <f t="shared" si="49"/>
        <v>0.07817080320500293</v>
      </c>
      <c r="AE36" s="11">
        <f t="shared" si="49"/>
        <v>0</v>
      </c>
      <c r="AF36" s="11">
        <f t="shared" si="49"/>
        <v>0</v>
      </c>
      <c r="AG36" s="11">
        <f t="shared" si="49"/>
        <v>0.046973004338095106</v>
      </c>
      <c r="AH36" s="12">
        <f t="shared" si="49"/>
        <v>0.05309532728546068</v>
      </c>
      <c r="AJ36" s="3" t="s">
        <v>256</v>
      </c>
      <c r="AK36" s="62">
        <f t="shared" si="21"/>
        <v>80.98159509202453</v>
      </c>
      <c r="AL36" s="62">
        <f t="shared" si="22"/>
        <v>9.202453987730062</v>
      </c>
      <c r="AM36" s="62">
        <f t="shared" si="23"/>
        <v>2.4539877300613497</v>
      </c>
      <c r="AN36" s="62">
        <f t="shared" si="24"/>
        <v>7.361963190184049</v>
      </c>
      <c r="AO36" s="139">
        <f t="shared" si="25"/>
        <v>19.018404907975462</v>
      </c>
      <c r="AP36" s="181">
        <f t="shared" si="26"/>
        <v>100</v>
      </c>
      <c r="AR36" s="3" t="s">
        <v>254</v>
      </c>
      <c r="AS36" s="11">
        <f>(AS6/AS28)*100</f>
        <v>44.58028677238629</v>
      </c>
      <c r="AT36" s="11">
        <f aca="true" t="shared" si="50" ref="AT36:BG36">(AT6/AT28)*100</f>
        <v>83.58472499187405</v>
      </c>
      <c r="AU36" s="11">
        <f t="shared" si="50"/>
        <v>83.44693281402142</v>
      </c>
      <c r="AV36" s="11">
        <f t="shared" si="50"/>
        <v>95.34313725490196</v>
      </c>
      <c r="AW36" s="11">
        <f t="shared" si="50"/>
        <v>95.48022598870057</v>
      </c>
      <c r="AX36" s="11">
        <f t="shared" si="50"/>
        <v>95.6896551724138</v>
      </c>
      <c r="AY36" s="11">
        <f t="shared" si="50"/>
        <v>98.04161566707467</v>
      </c>
      <c r="AZ36" s="11">
        <f t="shared" si="50"/>
        <v>77.80772686433065</v>
      </c>
      <c r="BA36" s="11">
        <f t="shared" si="50"/>
        <v>94.47513812154696</v>
      </c>
      <c r="BB36" s="11">
        <f t="shared" si="50"/>
        <v>87.29411764705883</v>
      </c>
      <c r="BC36" s="11">
        <f t="shared" si="50"/>
        <v>3.368855276727398</v>
      </c>
      <c r="BD36" s="11">
        <f t="shared" si="50"/>
        <v>39.27893738140417</v>
      </c>
      <c r="BE36" s="11">
        <f t="shared" si="50"/>
        <v>4.429750042093341</v>
      </c>
      <c r="BF36" s="11">
        <f t="shared" si="50"/>
        <v>27.839316695582543</v>
      </c>
      <c r="BG36" s="12">
        <f t="shared" si="50"/>
        <v>53.336047818368385</v>
      </c>
      <c r="BI36" s="3" t="s">
        <v>256</v>
      </c>
      <c r="BJ36" s="191">
        <f t="shared" si="27"/>
        <v>15.789473684210526</v>
      </c>
      <c r="BK36" s="191">
        <f t="shared" si="28"/>
        <v>10.526315789473683</v>
      </c>
      <c r="BL36" s="191">
        <f t="shared" si="29"/>
        <v>10.526315789473683</v>
      </c>
      <c r="BM36" s="191">
        <f t="shared" si="30"/>
        <v>5.263157894736842</v>
      </c>
      <c r="BN36" s="191">
        <f t="shared" si="31"/>
        <v>7.894736842105263</v>
      </c>
      <c r="BO36" s="191">
        <f t="shared" si="32"/>
        <v>34.21052631578947</v>
      </c>
      <c r="BP36" s="191">
        <f t="shared" si="33"/>
        <v>7.894736842105263</v>
      </c>
      <c r="BQ36" s="191">
        <f t="shared" si="34"/>
        <v>2.631578947368421</v>
      </c>
      <c r="BR36" s="192">
        <f t="shared" si="35"/>
        <v>0</v>
      </c>
      <c r="BS36" s="193">
        <f t="shared" si="36"/>
        <v>5.263157894736842</v>
      </c>
      <c r="BT36" s="194">
        <f t="shared" si="37"/>
        <v>99.99999999999999</v>
      </c>
      <c r="BV36" s="3" t="s">
        <v>256</v>
      </c>
      <c r="BW36" s="11">
        <f>(BW7/BW27)*100</f>
        <v>0.05917365728010024</v>
      </c>
      <c r="BX36" s="11">
        <f>(BX7/BX27)*100</f>
        <v>0.06100624416852078</v>
      </c>
      <c r="BY36" s="12">
        <f>(BY7/BY27)*100</f>
        <v>0.06007597844332538</v>
      </c>
      <c r="CA36" s="3" t="s">
        <v>256</v>
      </c>
      <c r="CB36" s="62">
        <f t="shared" si="38"/>
        <v>55.00000000000001</v>
      </c>
      <c r="CC36" s="62">
        <f t="shared" si="39"/>
        <v>36.666666666666664</v>
      </c>
      <c r="CD36" s="62">
        <f t="shared" si="40"/>
        <v>5</v>
      </c>
      <c r="CE36" s="62">
        <f t="shared" si="41"/>
        <v>3.3333333333333335</v>
      </c>
      <c r="CF36" s="63">
        <f t="shared" si="42"/>
        <v>100</v>
      </c>
    </row>
    <row r="37" spans="1:84" ht="15">
      <c r="A37" s="3" t="s">
        <v>257</v>
      </c>
      <c r="B37" s="153">
        <f aca="true" t="shared" si="51" ref="B37:K37">(B8/B27)*100</f>
        <v>10.826619578412979</v>
      </c>
      <c r="C37" s="153">
        <f t="shared" si="51"/>
        <v>7.973174366616989</v>
      </c>
      <c r="D37" s="153">
        <f t="shared" si="51"/>
        <v>6.701436725054124</v>
      </c>
      <c r="E37" s="153">
        <f t="shared" si="51"/>
        <v>19.2946584691748</v>
      </c>
      <c r="F37" s="153">
        <f t="shared" si="51"/>
        <v>24.136624521126564</v>
      </c>
      <c r="G37" s="153">
        <f t="shared" si="51"/>
        <v>14.60311992520053</v>
      </c>
      <c r="H37" s="153">
        <f t="shared" si="51"/>
        <v>9.076614646802154</v>
      </c>
      <c r="I37" s="153">
        <f t="shared" si="51"/>
        <v>7.567508710801393</v>
      </c>
      <c r="J37" s="154">
        <f t="shared" si="51"/>
        <v>7.036091870215093</v>
      </c>
      <c r="K37" s="120">
        <f t="shared" si="51"/>
        <v>15.521425430381603</v>
      </c>
      <c r="M37" s="3" t="s">
        <v>257</v>
      </c>
      <c r="N37" s="43">
        <f>(N8/N27)*100</f>
        <v>18.088443323697646</v>
      </c>
      <c r="O37" s="43">
        <f aca="true" t="shared" si="52" ref="O37:W37">(O8/O27)*100</f>
        <v>8.43045843045843</v>
      </c>
      <c r="P37" s="43">
        <f t="shared" si="52"/>
        <v>0.8774630541871921</v>
      </c>
      <c r="Q37" s="43">
        <f t="shared" si="52"/>
        <v>23.438466295609153</v>
      </c>
      <c r="R37" s="43">
        <f t="shared" si="52"/>
        <v>5.4756324254424955</v>
      </c>
      <c r="S37" s="43">
        <f t="shared" si="52"/>
        <v>0.9615384615384616</v>
      </c>
      <c r="T37" s="43">
        <f t="shared" si="52"/>
        <v>14.886983632112235</v>
      </c>
      <c r="U37" s="43">
        <f t="shared" si="52"/>
        <v>14.825960841189268</v>
      </c>
      <c r="V37" s="43">
        <f t="shared" si="52"/>
        <v>15.615540904755981</v>
      </c>
      <c r="W37" s="43">
        <f t="shared" si="52"/>
        <v>15.521425430381603</v>
      </c>
      <c r="Y37" s="3" t="s">
        <v>257</v>
      </c>
      <c r="Z37" s="43">
        <f>(Z8/Z27)*100</f>
        <v>2.589430607493121</v>
      </c>
      <c r="AA37" s="43">
        <f aca="true" t="shared" si="53" ref="AA37:AH37">(AA8/AA27)*100</f>
        <v>16.836581064223342</v>
      </c>
      <c r="AB37" s="43">
        <f t="shared" si="53"/>
        <v>44.28831211770541</v>
      </c>
      <c r="AC37" s="43">
        <f t="shared" si="53"/>
        <v>49.44806270007727</v>
      </c>
      <c r="AD37" s="43">
        <f t="shared" si="53"/>
        <v>37.658784444010166</v>
      </c>
      <c r="AE37" s="43">
        <f t="shared" si="53"/>
        <v>30.898021308980212</v>
      </c>
      <c r="AF37" s="43">
        <f t="shared" si="53"/>
        <v>24.196277495769884</v>
      </c>
      <c r="AG37" s="43">
        <f t="shared" si="53"/>
        <v>39.155222753354884</v>
      </c>
      <c r="AH37" s="44">
        <f t="shared" si="53"/>
        <v>15.521425430381603</v>
      </c>
      <c r="AJ37" s="3" t="s">
        <v>257</v>
      </c>
      <c r="AK37" s="62">
        <f t="shared" si="21"/>
        <v>96.46169989506821</v>
      </c>
      <c r="AL37" s="62">
        <f t="shared" si="22"/>
        <v>2.180482686253935</v>
      </c>
      <c r="AM37" s="62">
        <f t="shared" si="23"/>
        <v>0.6526757607555089</v>
      </c>
      <c r="AN37" s="62">
        <f t="shared" si="24"/>
        <v>0.7051416579223505</v>
      </c>
      <c r="AO37" s="139">
        <f t="shared" si="25"/>
        <v>3.5383001049317944</v>
      </c>
      <c r="AP37" s="181">
        <f t="shared" si="26"/>
        <v>100.00000000000001</v>
      </c>
      <c r="AR37" s="3" t="s">
        <v>255</v>
      </c>
      <c r="AS37" s="11">
        <f>(AS7/AS28)*100</f>
        <v>1.064713702402431</v>
      </c>
      <c r="AT37" s="11">
        <f aca="true" t="shared" si="54" ref="AT37:BG37">(AT7/AT28)*100</f>
        <v>0.5183031282668471</v>
      </c>
      <c r="AU37" s="11">
        <f t="shared" si="54"/>
        <v>0.36514118792599803</v>
      </c>
      <c r="AV37" s="11">
        <f t="shared" si="54"/>
        <v>0.29411764705882354</v>
      </c>
      <c r="AW37" s="11">
        <f t="shared" si="54"/>
        <v>0.18832391713747645</v>
      </c>
      <c r="AX37" s="11">
        <f t="shared" si="54"/>
        <v>0.49261083743842365</v>
      </c>
      <c r="AY37" s="11">
        <f t="shared" si="54"/>
        <v>0</v>
      </c>
      <c r="AZ37" s="11">
        <f t="shared" si="54"/>
        <v>18.598382749326145</v>
      </c>
      <c r="BA37" s="11">
        <f t="shared" si="54"/>
        <v>2.7624309392265194</v>
      </c>
      <c r="BB37" s="11">
        <f t="shared" si="54"/>
        <v>0.7058823529411765</v>
      </c>
      <c r="BC37" s="11">
        <f t="shared" si="54"/>
        <v>90.34032313509796</v>
      </c>
      <c r="BD37" s="11">
        <f t="shared" si="54"/>
        <v>42.8842504743833</v>
      </c>
      <c r="BE37" s="11">
        <f t="shared" si="54"/>
        <v>0.5403254197854005</v>
      </c>
      <c r="BF37" s="11">
        <f t="shared" si="54"/>
        <v>0.30695315627919395</v>
      </c>
      <c r="BG37" s="12">
        <f t="shared" si="54"/>
        <v>2.4964575970292677</v>
      </c>
      <c r="BI37" s="3" t="s">
        <v>257</v>
      </c>
      <c r="BJ37" s="191">
        <f t="shared" si="27"/>
        <v>31.817607679676644</v>
      </c>
      <c r="BK37" s="191">
        <f t="shared" si="28"/>
        <v>15.220411772135911</v>
      </c>
      <c r="BL37" s="191">
        <f t="shared" si="29"/>
        <v>16.710875331564985</v>
      </c>
      <c r="BM37" s="191">
        <f t="shared" si="30"/>
        <v>9.157509157509157</v>
      </c>
      <c r="BN37" s="191">
        <f t="shared" si="31"/>
        <v>7.84388025767336</v>
      </c>
      <c r="BO37" s="191">
        <f t="shared" si="32"/>
        <v>9.953265125678918</v>
      </c>
      <c r="BP37" s="191">
        <f t="shared" si="33"/>
        <v>2.6904130352406215</v>
      </c>
      <c r="BQ37" s="191">
        <f t="shared" si="34"/>
        <v>2.677781988126816</v>
      </c>
      <c r="BR37" s="192">
        <f t="shared" si="35"/>
        <v>2.1093848680055576</v>
      </c>
      <c r="BS37" s="193">
        <f t="shared" si="36"/>
        <v>1.8188707843880259</v>
      </c>
      <c r="BT37" s="194">
        <f t="shared" si="37"/>
        <v>100.00000000000001</v>
      </c>
      <c r="BV37" s="3" t="s">
        <v>257</v>
      </c>
      <c r="BW37" s="43">
        <f>(BW8/BW27)*100</f>
        <v>9.815865501757806</v>
      </c>
      <c r="BX37" s="43">
        <f>(BX8/BX27)*100</f>
        <v>9.545682911074428</v>
      </c>
      <c r="BY37" s="44">
        <f>(BY8/BY27)*100</f>
        <v>9.682834172630091</v>
      </c>
      <c r="CA37" s="3" t="s">
        <v>257</v>
      </c>
      <c r="CB37" s="62">
        <f t="shared" si="38"/>
        <v>47.62274704785581</v>
      </c>
      <c r="CC37" s="62">
        <f t="shared" si="39"/>
        <v>47.384503832608246</v>
      </c>
      <c r="CD37" s="62">
        <f t="shared" si="40"/>
        <v>3.3768386161176713</v>
      </c>
      <c r="CE37" s="62">
        <f t="shared" si="41"/>
        <v>1.6159105034182724</v>
      </c>
      <c r="CF37" s="63">
        <f t="shared" si="42"/>
        <v>100</v>
      </c>
    </row>
    <row r="38" spans="1:84" ht="15">
      <c r="A38" s="67" t="s">
        <v>258</v>
      </c>
      <c r="B38" s="116">
        <f aca="true" t="shared" si="55" ref="B38:K38">(B9/B27)*100</f>
        <v>11.930250524224698</v>
      </c>
      <c r="C38" s="116">
        <f t="shared" si="55"/>
        <v>10.777672402113534</v>
      </c>
      <c r="D38" s="116">
        <f t="shared" si="55"/>
        <v>9.732336154300334</v>
      </c>
      <c r="E38" s="116">
        <f t="shared" si="55"/>
        <v>4.917085001974167</v>
      </c>
      <c r="F38" s="116">
        <f t="shared" si="55"/>
        <v>3.306156242545011</v>
      </c>
      <c r="G38" s="116">
        <f t="shared" si="55"/>
        <v>3.206043009694405</v>
      </c>
      <c r="H38" s="116">
        <f t="shared" si="55"/>
        <v>2.2013443924682576</v>
      </c>
      <c r="I38" s="116">
        <f t="shared" si="55"/>
        <v>1.633275261324042</v>
      </c>
      <c r="J38" s="151">
        <f t="shared" si="55"/>
        <v>1.7238685485130985</v>
      </c>
      <c r="K38" s="164">
        <f t="shared" si="55"/>
        <v>4.9645759702926755</v>
      </c>
      <c r="M38" s="67" t="s">
        <v>258</v>
      </c>
      <c r="N38" s="76">
        <f>(N9/N27)*100</f>
        <v>4.355741435512639</v>
      </c>
      <c r="O38" s="76">
        <f aca="true" t="shared" si="56" ref="O38:W38">(O9/O27)*100</f>
        <v>5.011655011655012</v>
      </c>
      <c r="P38" s="76">
        <f t="shared" si="56"/>
        <v>1.9396551724137931</v>
      </c>
      <c r="Q38" s="76">
        <f t="shared" si="56"/>
        <v>2.9684601113172544</v>
      </c>
      <c r="R38" s="76">
        <f t="shared" si="56"/>
        <v>4.3724238260729</v>
      </c>
      <c r="S38" s="76">
        <f t="shared" si="56"/>
        <v>2.8846153846153846</v>
      </c>
      <c r="T38" s="76">
        <f t="shared" si="56"/>
        <v>7.092751363990647</v>
      </c>
      <c r="U38" s="76">
        <f t="shared" si="56"/>
        <v>6.063572637176698</v>
      </c>
      <c r="V38" s="76">
        <f t="shared" si="56"/>
        <v>6.808475349338641</v>
      </c>
      <c r="W38" s="76">
        <f t="shared" si="56"/>
        <v>4.9645759702926755</v>
      </c>
      <c r="Y38" s="67" t="s">
        <v>258</v>
      </c>
      <c r="Z38" s="76">
        <f>(Z9/Z27)*100</f>
        <v>5.64251947868684</v>
      </c>
      <c r="AA38" s="76">
        <f aca="true" t="shared" si="57" ref="AA38:AH38">(AA9/AA27)*100</f>
        <v>5.166258011786467</v>
      </c>
      <c r="AB38" s="76">
        <f t="shared" si="57"/>
        <v>3.3393949413126136</v>
      </c>
      <c r="AC38" s="76">
        <f t="shared" si="57"/>
        <v>3.361298156529418</v>
      </c>
      <c r="AD38" s="76">
        <f t="shared" si="57"/>
        <v>3.3418018370138753</v>
      </c>
      <c r="AE38" s="76">
        <f t="shared" si="57"/>
        <v>2.841197361745307</v>
      </c>
      <c r="AF38" s="76">
        <f t="shared" si="57"/>
        <v>2.707275803722504</v>
      </c>
      <c r="AG38" s="76">
        <f t="shared" si="57"/>
        <v>3.725603971521465</v>
      </c>
      <c r="AH38" s="79">
        <f t="shared" si="57"/>
        <v>4.9645759702926755</v>
      </c>
      <c r="AJ38" s="67" t="s">
        <v>258</v>
      </c>
      <c r="AK38" s="76">
        <f t="shared" si="21"/>
        <v>94.97408306541566</v>
      </c>
      <c r="AL38" s="76">
        <f t="shared" si="22"/>
        <v>3.4315333639524965</v>
      </c>
      <c r="AM38" s="76">
        <f t="shared" si="23"/>
        <v>0.8004724099468539</v>
      </c>
      <c r="AN38" s="76">
        <f t="shared" si="24"/>
        <v>0.7939111606849945</v>
      </c>
      <c r="AO38" s="179">
        <f t="shared" si="25"/>
        <v>5.025916934584345</v>
      </c>
      <c r="AP38" s="180">
        <f t="shared" si="26"/>
        <v>100</v>
      </c>
      <c r="AR38" s="3" t="s">
        <v>256</v>
      </c>
      <c r="AS38" s="11">
        <f>(AS8/AS28)*100</f>
        <v>0.013056689773050993</v>
      </c>
      <c r="AT38" s="11">
        <f aca="true" t="shared" si="58" ref="AT38:BG38">(AT8/AT28)*100</f>
        <v>0.0632505512461237</v>
      </c>
      <c r="AU38" s="11">
        <f t="shared" si="58"/>
        <v>0.01460564751703992</v>
      </c>
      <c r="AV38" s="11">
        <f t="shared" si="58"/>
        <v>0.049019607843137254</v>
      </c>
      <c r="AW38" s="11">
        <f t="shared" si="58"/>
        <v>0</v>
      </c>
      <c r="AX38" s="11">
        <f t="shared" si="58"/>
        <v>0.09236453201970443</v>
      </c>
      <c r="AY38" s="11">
        <f t="shared" si="58"/>
        <v>0</v>
      </c>
      <c r="AZ38" s="11">
        <f t="shared" si="58"/>
        <v>0.5390835579514826</v>
      </c>
      <c r="BA38" s="11">
        <f t="shared" si="58"/>
        <v>0</v>
      </c>
      <c r="BB38" s="11">
        <f t="shared" si="58"/>
        <v>0.1568627450980392</v>
      </c>
      <c r="BC38" s="11">
        <f t="shared" si="58"/>
        <v>0.4984530766586456</v>
      </c>
      <c r="BD38" s="11">
        <f t="shared" si="58"/>
        <v>0.3795066413662239</v>
      </c>
      <c r="BE38" s="11">
        <f t="shared" si="58"/>
        <v>0.052042674993494666</v>
      </c>
      <c r="BF38" s="11">
        <f t="shared" si="58"/>
        <v>0</v>
      </c>
      <c r="BG38" s="12">
        <f t="shared" si="58"/>
        <v>0.05309532728546068</v>
      </c>
      <c r="BI38" s="67" t="s">
        <v>258</v>
      </c>
      <c r="BJ38" s="121">
        <f t="shared" si="27"/>
        <v>23.59882005899705</v>
      </c>
      <c r="BK38" s="121">
        <f t="shared" si="28"/>
        <v>13.52015732546706</v>
      </c>
      <c r="BL38" s="121">
        <f t="shared" si="29"/>
        <v>17.35496558505408</v>
      </c>
      <c r="BM38" s="121">
        <f t="shared" si="30"/>
        <v>10.373647984267453</v>
      </c>
      <c r="BN38" s="121">
        <f t="shared" si="31"/>
        <v>8.898721730580137</v>
      </c>
      <c r="BO38" s="121">
        <f t="shared" si="32"/>
        <v>13.618485742379546</v>
      </c>
      <c r="BP38" s="121">
        <f t="shared" si="33"/>
        <v>4.08062930186824</v>
      </c>
      <c r="BQ38" s="121">
        <f t="shared" si="34"/>
        <v>2.9006882989183875</v>
      </c>
      <c r="BR38" s="116">
        <f t="shared" si="35"/>
        <v>3.0973451327433628</v>
      </c>
      <c r="BS38" s="155">
        <f t="shared" si="36"/>
        <v>2.55653883972468</v>
      </c>
      <c r="BT38" s="165">
        <f t="shared" si="37"/>
        <v>99.99999999999999</v>
      </c>
      <c r="BV38" s="67" t="s">
        <v>258</v>
      </c>
      <c r="BW38" s="76">
        <f>(BW9/BW27)*100</f>
        <v>11.006300254098646</v>
      </c>
      <c r="BX38" s="76">
        <f>(BX9/BX27)*100</f>
        <v>11.81726835570229</v>
      </c>
      <c r="BY38" s="79">
        <f>(BY9/BY27)*100</f>
        <v>11.40560120151957</v>
      </c>
      <c r="CA38" s="67" t="s">
        <v>258</v>
      </c>
      <c r="CB38" s="76">
        <f t="shared" si="38"/>
        <v>55.53150553150553</v>
      </c>
      <c r="CC38" s="76">
        <f t="shared" si="39"/>
        <v>39.85088985088986</v>
      </c>
      <c r="CD38" s="76">
        <f t="shared" si="40"/>
        <v>2.5733525733525733</v>
      </c>
      <c r="CE38" s="76">
        <f t="shared" si="41"/>
        <v>2.0442520442520444</v>
      </c>
      <c r="CF38" s="79">
        <f t="shared" si="42"/>
        <v>100.00000000000001</v>
      </c>
    </row>
    <row r="39" spans="1:84" ht="15">
      <c r="A39" s="3" t="s">
        <v>259</v>
      </c>
      <c r="B39" s="13">
        <f aca="true" t="shared" si="59" ref="B39:K39">(B10/B27)*100</f>
        <v>3.6750910495530293</v>
      </c>
      <c r="C39" s="13">
        <f t="shared" si="59"/>
        <v>4.213521203089012</v>
      </c>
      <c r="D39" s="13">
        <f t="shared" si="59"/>
        <v>4.526667978744341</v>
      </c>
      <c r="E39" s="13">
        <f t="shared" si="59"/>
        <v>1.3960178239043375</v>
      </c>
      <c r="F39" s="13">
        <f t="shared" si="59"/>
        <v>0.7100658144005838</v>
      </c>
      <c r="G39" s="13">
        <f t="shared" si="59"/>
        <v>0.9251513212932435</v>
      </c>
      <c r="H39" s="13">
        <f t="shared" si="59"/>
        <v>0.652541373481662</v>
      </c>
      <c r="I39" s="13">
        <f t="shared" si="59"/>
        <v>0.4028745644599303</v>
      </c>
      <c r="J39" s="152">
        <f t="shared" si="59"/>
        <v>0.6041352012915994</v>
      </c>
      <c r="K39" s="14">
        <f t="shared" si="59"/>
        <v>1.5120767439209106</v>
      </c>
      <c r="M39" s="3" t="s">
        <v>259</v>
      </c>
      <c r="N39" s="11">
        <f>(N10/N27)*100</f>
        <v>1.3580170982225228</v>
      </c>
      <c r="O39" s="11">
        <f aca="true" t="shared" si="60" ref="O39:W39">(O10/O27)*100</f>
        <v>0.34965034965034963</v>
      </c>
      <c r="P39" s="11">
        <f t="shared" si="60"/>
        <v>0.06157635467980296</v>
      </c>
      <c r="Q39" s="11">
        <f t="shared" si="60"/>
        <v>0.7421150278293136</v>
      </c>
      <c r="R39" s="11">
        <f t="shared" si="60"/>
        <v>0.4485573426008244</v>
      </c>
      <c r="S39" s="11">
        <f t="shared" si="60"/>
        <v>0</v>
      </c>
      <c r="T39" s="11">
        <f t="shared" si="60"/>
        <v>1.71473109898675</v>
      </c>
      <c r="U39" s="11">
        <f t="shared" si="60"/>
        <v>2.1561518008218514</v>
      </c>
      <c r="V39" s="11">
        <f t="shared" si="60"/>
        <v>2.040054733175768</v>
      </c>
      <c r="W39" s="11">
        <f t="shared" si="60"/>
        <v>1.5120767439209106</v>
      </c>
      <c r="Y39" s="3" t="s">
        <v>259</v>
      </c>
      <c r="Z39" s="11">
        <f>(Z10/Z27)*100</f>
        <v>2.0955337613772667</v>
      </c>
      <c r="AA39" s="11">
        <f aca="true" t="shared" si="61" ref="AA39:AH39">(AA10/AA27)*100</f>
        <v>0.5291005291005291</v>
      </c>
      <c r="AB39" s="11">
        <f t="shared" si="61"/>
        <v>0.4270678349038408</v>
      </c>
      <c r="AC39" s="11">
        <f t="shared" si="61"/>
        <v>0.41947234794127386</v>
      </c>
      <c r="AD39" s="11">
        <f t="shared" si="61"/>
        <v>0.4494821184287669</v>
      </c>
      <c r="AE39" s="11">
        <f t="shared" si="61"/>
        <v>0.2536783358701167</v>
      </c>
      <c r="AF39" s="11">
        <f t="shared" si="61"/>
        <v>0.5076142131979695</v>
      </c>
      <c r="AG39" s="11">
        <f t="shared" si="61"/>
        <v>0.44578302156153005</v>
      </c>
      <c r="AH39" s="12">
        <f t="shared" si="61"/>
        <v>1.5120767439209106</v>
      </c>
      <c r="AJ39" s="3" t="s">
        <v>259</v>
      </c>
      <c r="AK39" s="62">
        <f t="shared" si="21"/>
        <v>93.66652305040931</v>
      </c>
      <c r="AL39" s="62">
        <f t="shared" si="22"/>
        <v>4.286945282205946</v>
      </c>
      <c r="AM39" s="62">
        <f t="shared" si="23"/>
        <v>1.034037052994399</v>
      </c>
      <c r="AN39" s="62">
        <f t="shared" si="24"/>
        <v>1.0124946143903488</v>
      </c>
      <c r="AO39" s="139">
        <f t="shared" si="25"/>
        <v>6.333476949590694</v>
      </c>
      <c r="AP39" s="181">
        <f t="shared" si="26"/>
        <v>100</v>
      </c>
      <c r="AR39" s="3" t="s">
        <v>257</v>
      </c>
      <c r="AS39" s="43">
        <f>(AS9/AS28)*100</f>
        <v>4.317016427689678</v>
      </c>
      <c r="AT39" s="43">
        <f aca="true" t="shared" si="62" ref="AT39:BG39">(AT9/AT28)*100</f>
        <v>1.8043976702713622</v>
      </c>
      <c r="AU39" s="43">
        <f t="shared" si="62"/>
        <v>1.0808179162609541</v>
      </c>
      <c r="AV39" s="43">
        <f t="shared" si="62"/>
        <v>0.5392156862745098</v>
      </c>
      <c r="AW39" s="43">
        <f t="shared" si="62"/>
        <v>0.5649717514124294</v>
      </c>
      <c r="AX39" s="43">
        <f t="shared" si="62"/>
        <v>0.43103448275862066</v>
      </c>
      <c r="AY39" s="43">
        <f t="shared" si="62"/>
        <v>0.24479804161566704</v>
      </c>
      <c r="AZ39" s="43">
        <f t="shared" si="62"/>
        <v>0.5390835579514826</v>
      </c>
      <c r="BA39" s="43">
        <f t="shared" si="62"/>
        <v>0</v>
      </c>
      <c r="BB39" s="43">
        <f t="shared" si="62"/>
        <v>2.03921568627451</v>
      </c>
      <c r="BC39" s="43">
        <f t="shared" si="62"/>
        <v>2.2516328635269853</v>
      </c>
      <c r="BD39" s="43">
        <f t="shared" si="62"/>
        <v>8.349146110056926</v>
      </c>
      <c r="BE39" s="43">
        <f t="shared" si="62"/>
        <v>59.35007882934594</v>
      </c>
      <c r="BF39" s="43">
        <f t="shared" si="62"/>
        <v>36.3806219137862</v>
      </c>
      <c r="BG39" s="44">
        <f t="shared" si="62"/>
        <v>15.521425430381603</v>
      </c>
      <c r="BI39" s="3" t="s">
        <v>259</v>
      </c>
      <c r="BJ39" s="191">
        <f t="shared" si="27"/>
        <v>21.563682219419924</v>
      </c>
      <c r="BK39" s="191">
        <f t="shared" si="28"/>
        <v>13.493064312736443</v>
      </c>
      <c r="BL39" s="191">
        <f t="shared" si="29"/>
        <v>17.528373266078184</v>
      </c>
      <c r="BM39" s="191">
        <f t="shared" si="30"/>
        <v>10.718789407313997</v>
      </c>
      <c r="BN39" s="191">
        <f t="shared" si="31"/>
        <v>10.466582597730138</v>
      </c>
      <c r="BO39" s="191">
        <f t="shared" si="32"/>
        <v>12.862547288776796</v>
      </c>
      <c r="BP39" s="191">
        <f t="shared" si="33"/>
        <v>4.539722572509458</v>
      </c>
      <c r="BQ39" s="191">
        <f t="shared" si="34"/>
        <v>2.5220680958385877</v>
      </c>
      <c r="BR39" s="192">
        <f t="shared" si="35"/>
        <v>3.5308953341740232</v>
      </c>
      <c r="BS39" s="193">
        <f t="shared" si="36"/>
        <v>2.7742749054224465</v>
      </c>
      <c r="BT39" s="194">
        <f t="shared" si="37"/>
        <v>100</v>
      </c>
      <c r="BV39" s="3" t="s">
        <v>259</v>
      </c>
      <c r="BW39" s="11">
        <f>(BW10/BW27)*100</f>
        <v>3.623516307563786</v>
      </c>
      <c r="BX39" s="11">
        <f>(BX10/BX27)*100</f>
        <v>4.073063948898299</v>
      </c>
      <c r="BY39" s="12">
        <f>(BY10/BY27)*100</f>
        <v>3.8448626203728242</v>
      </c>
      <c r="CA39" s="3" t="s">
        <v>259</v>
      </c>
      <c r="CB39" s="62">
        <f t="shared" si="38"/>
        <v>57.06168831168831</v>
      </c>
      <c r="CC39" s="62">
        <f t="shared" si="39"/>
        <v>38.961038961038966</v>
      </c>
      <c r="CD39" s="62">
        <f t="shared" si="40"/>
        <v>2.4350649350649354</v>
      </c>
      <c r="CE39" s="62">
        <f t="shared" si="41"/>
        <v>1.5422077922077921</v>
      </c>
      <c r="CF39" s="63">
        <f t="shared" si="42"/>
        <v>100</v>
      </c>
    </row>
    <row r="40" spans="1:84" ht="15">
      <c r="A40" s="3" t="s">
        <v>260</v>
      </c>
      <c r="B40" s="13">
        <f aca="true" t="shared" si="63" ref="B40:K40">(B11/B27)*100</f>
        <v>1.7078688886436377</v>
      </c>
      <c r="C40" s="13">
        <f t="shared" si="63"/>
        <v>1.5716027638531365</v>
      </c>
      <c r="D40" s="13">
        <f t="shared" si="63"/>
        <v>1.0923046644361345</v>
      </c>
      <c r="E40" s="13">
        <f t="shared" si="63"/>
        <v>0.538665463365108</v>
      </c>
      <c r="F40" s="13">
        <f t="shared" si="63"/>
        <v>0.5051851643956723</v>
      </c>
      <c r="G40" s="13">
        <f t="shared" si="63"/>
        <v>0.4453520988140347</v>
      </c>
      <c r="H40" s="13">
        <f t="shared" si="63"/>
        <v>0.3105467982232006</v>
      </c>
      <c r="I40" s="13">
        <f t="shared" si="63"/>
        <v>0.2504355400696864</v>
      </c>
      <c r="J40" s="152">
        <f t="shared" si="63"/>
        <v>0.12499348992239988</v>
      </c>
      <c r="K40" s="14">
        <f t="shared" si="63"/>
        <v>0.66255150735354</v>
      </c>
      <c r="M40" s="3" t="s">
        <v>260</v>
      </c>
      <c r="N40" s="11">
        <f>(N11/N27)*100</f>
        <v>0.6765483732086844</v>
      </c>
      <c r="O40" s="11">
        <f aca="true" t="shared" si="64" ref="O40:W40">(O11/O27)*100</f>
        <v>0.2331002331002331</v>
      </c>
      <c r="P40" s="11">
        <f t="shared" si="64"/>
        <v>0.16933497536945813</v>
      </c>
      <c r="Q40" s="11">
        <f t="shared" si="64"/>
        <v>0.4329004329004329</v>
      </c>
      <c r="R40" s="11">
        <f t="shared" si="64"/>
        <v>1.0143053422775399</v>
      </c>
      <c r="S40" s="11">
        <f t="shared" si="64"/>
        <v>0</v>
      </c>
      <c r="T40" s="11">
        <f t="shared" si="64"/>
        <v>0.5455962587685114</v>
      </c>
      <c r="U40" s="11">
        <f t="shared" si="64"/>
        <v>0.5426637660140199</v>
      </c>
      <c r="V40" s="11">
        <f t="shared" si="64"/>
        <v>0.8417299000704898</v>
      </c>
      <c r="W40" s="11">
        <f t="shared" si="64"/>
        <v>0.66255150735354</v>
      </c>
      <c r="Y40" s="3" t="s">
        <v>260</v>
      </c>
      <c r="Z40" s="11">
        <f>(Z11/Z27)*100</f>
        <v>0.6758323169809799</v>
      </c>
      <c r="AA40" s="11">
        <f aca="true" t="shared" si="65" ref="AA40:AH40">(AA11/AA27)*100</f>
        <v>0.8775325848496581</v>
      </c>
      <c r="AB40" s="11">
        <f t="shared" si="65"/>
        <v>0.5923844161569406</v>
      </c>
      <c r="AC40" s="11">
        <f t="shared" si="65"/>
        <v>0.5712551054200243</v>
      </c>
      <c r="AD40" s="11">
        <f t="shared" si="65"/>
        <v>0.5471956224350205</v>
      </c>
      <c r="AE40" s="11">
        <f t="shared" si="65"/>
        <v>0.5580923389142567</v>
      </c>
      <c r="AF40" s="11">
        <f t="shared" si="65"/>
        <v>0</v>
      </c>
      <c r="AG40" s="11">
        <f t="shared" si="65"/>
        <v>0.6382802354176453</v>
      </c>
      <c r="AH40" s="12">
        <f t="shared" si="65"/>
        <v>0.66255150735354</v>
      </c>
      <c r="AJ40" s="3" t="s">
        <v>260</v>
      </c>
      <c r="AK40" s="62">
        <f t="shared" si="21"/>
        <v>95.52605703048181</v>
      </c>
      <c r="AL40" s="62">
        <f t="shared" si="22"/>
        <v>3.146509341199607</v>
      </c>
      <c r="AM40" s="62">
        <f t="shared" si="23"/>
        <v>0.7374631268436578</v>
      </c>
      <c r="AN40" s="62">
        <f t="shared" si="24"/>
        <v>0.5899705014749262</v>
      </c>
      <c r="AO40" s="139">
        <f t="shared" si="25"/>
        <v>4.473942969518191</v>
      </c>
      <c r="AP40" s="181">
        <f t="shared" si="26"/>
        <v>100</v>
      </c>
      <c r="AR40" s="67" t="s">
        <v>258</v>
      </c>
      <c r="AS40" s="76">
        <f>(AS10/AS28)*100</f>
        <v>6.263650175671826</v>
      </c>
      <c r="AT40" s="76">
        <f aca="true" t="shared" si="66" ref="AT40:BG40">(AT10/AT28)*100</f>
        <v>4.969560672212802</v>
      </c>
      <c r="AU40" s="76">
        <f t="shared" si="66"/>
        <v>4.313534566699124</v>
      </c>
      <c r="AV40" s="76">
        <f t="shared" si="66"/>
        <v>2.156862745098039</v>
      </c>
      <c r="AW40" s="76">
        <f t="shared" si="66"/>
        <v>1.1299435028248588</v>
      </c>
      <c r="AX40" s="76">
        <f t="shared" si="66"/>
        <v>1.5086206896551724</v>
      </c>
      <c r="AY40" s="76">
        <f t="shared" si="66"/>
        <v>0.6119951040391677</v>
      </c>
      <c r="AZ40" s="76">
        <f t="shared" si="66"/>
        <v>0.628930817610063</v>
      </c>
      <c r="BA40" s="76">
        <f t="shared" si="66"/>
        <v>0.5524861878453038</v>
      </c>
      <c r="BB40" s="76">
        <f t="shared" si="66"/>
        <v>3.058823529411765</v>
      </c>
      <c r="BC40" s="76">
        <f t="shared" si="66"/>
        <v>1.426607081471296</v>
      </c>
      <c r="BD40" s="76">
        <f t="shared" si="66"/>
        <v>5.1233396584440225</v>
      </c>
      <c r="BE40" s="76">
        <f t="shared" si="66"/>
        <v>4.04861398111157</v>
      </c>
      <c r="BF40" s="76">
        <f t="shared" si="66"/>
        <v>6.873081542773255</v>
      </c>
      <c r="BG40" s="79">
        <f t="shared" si="66"/>
        <v>4.9645759702926755</v>
      </c>
      <c r="BI40" s="3" t="s">
        <v>260</v>
      </c>
      <c r="BJ40" s="191">
        <f t="shared" si="27"/>
        <v>21.293800539083556</v>
      </c>
      <c r="BK40" s="191">
        <f t="shared" si="28"/>
        <v>13.746630727762804</v>
      </c>
      <c r="BL40" s="191">
        <f t="shared" si="29"/>
        <v>21.563342318059302</v>
      </c>
      <c r="BM40" s="191">
        <f t="shared" si="30"/>
        <v>12.668463611859837</v>
      </c>
      <c r="BN40" s="191">
        <f t="shared" si="31"/>
        <v>8.086253369272237</v>
      </c>
      <c r="BO40" s="191">
        <f t="shared" si="32"/>
        <v>12.668463611859837</v>
      </c>
      <c r="BP40" s="191">
        <f t="shared" si="33"/>
        <v>2.964959568733154</v>
      </c>
      <c r="BQ40" s="191">
        <f t="shared" si="34"/>
        <v>3.234501347708895</v>
      </c>
      <c r="BR40" s="192">
        <f t="shared" si="35"/>
        <v>1.6172506738544474</v>
      </c>
      <c r="BS40" s="193">
        <f t="shared" si="36"/>
        <v>2.15633423180593</v>
      </c>
      <c r="BT40" s="194">
        <f t="shared" si="37"/>
        <v>100</v>
      </c>
      <c r="BV40" s="3" t="s">
        <v>260</v>
      </c>
      <c r="BW40" s="11">
        <f>(BW11/BW27)*100</f>
        <v>1.583765533085036</v>
      </c>
      <c r="BX40" s="11">
        <f>(BX11/BX27)*100</f>
        <v>1.700997631522285</v>
      </c>
      <c r="BY40" s="12">
        <f>(BY11/BY27)*100</f>
        <v>1.6414877639367436</v>
      </c>
      <c r="CA40" s="3" t="s">
        <v>260</v>
      </c>
      <c r="CB40" s="62">
        <f t="shared" si="38"/>
        <v>54.08163265306123</v>
      </c>
      <c r="CC40" s="62">
        <f t="shared" si="39"/>
        <v>39.285714285714285</v>
      </c>
      <c r="CD40" s="62">
        <f t="shared" si="40"/>
        <v>3.9115646258503403</v>
      </c>
      <c r="CE40" s="62">
        <f t="shared" si="41"/>
        <v>2.7210884353741496</v>
      </c>
      <c r="CF40" s="63">
        <f t="shared" si="42"/>
        <v>100.00000000000001</v>
      </c>
    </row>
    <row r="41" spans="1:84" ht="15">
      <c r="A41" s="3" t="s">
        <v>261</v>
      </c>
      <c r="B41" s="13">
        <f aca="true" t="shared" si="67" ref="B41:K41">(B12/B27)*100</f>
        <v>3.294338373247986</v>
      </c>
      <c r="C41" s="13">
        <f t="shared" si="67"/>
        <v>2.0457932529467553</v>
      </c>
      <c r="D41" s="13">
        <f t="shared" si="67"/>
        <v>1.7811454438102736</v>
      </c>
      <c r="E41" s="13">
        <f t="shared" si="67"/>
        <v>1.3748660386936657</v>
      </c>
      <c r="F41" s="13">
        <f t="shared" si="67"/>
        <v>0.8728477007058558</v>
      </c>
      <c r="G41" s="13">
        <f t="shared" si="67"/>
        <v>0.809507406131588</v>
      </c>
      <c r="H41" s="13">
        <f t="shared" si="67"/>
        <v>0.5149573489523959</v>
      </c>
      <c r="I41" s="13">
        <f t="shared" si="67"/>
        <v>0.38109756097560976</v>
      </c>
      <c r="J41" s="152">
        <f t="shared" si="67"/>
        <v>0.4322691526482995</v>
      </c>
      <c r="K41" s="14">
        <f t="shared" si="67"/>
        <v>1.266144399745924</v>
      </c>
      <c r="M41" s="3" t="s">
        <v>261</v>
      </c>
      <c r="N41" s="11">
        <f>(N12/N27)*100</f>
        <v>0.9237960514176764</v>
      </c>
      <c r="O41" s="11">
        <f aca="true" t="shared" si="68" ref="O41:W41">(O12/O27)*100</f>
        <v>2.564102564102564</v>
      </c>
      <c r="P41" s="11">
        <f t="shared" si="68"/>
        <v>1.0160098522167487</v>
      </c>
      <c r="Q41" s="11">
        <f t="shared" si="68"/>
        <v>0.6184291898577613</v>
      </c>
      <c r="R41" s="11">
        <f t="shared" si="68"/>
        <v>1.2608098278509658</v>
      </c>
      <c r="S41" s="11">
        <f t="shared" si="68"/>
        <v>2.5240384615384617</v>
      </c>
      <c r="T41" s="11">
        <f t="shared" si="68"/>
        <v>1.8706157443491818</v>
      </c>
      <c r="U41" s="11">
        <f t="shared" si="68"/>
        <v>1.7138022721779067</v>
      </c>
      <c r="V41" s="11">
        <f t="shared" si="68"/>
        <v>1.9405398681428039</v>
      </c>
      <c r="W41" s="11">
        <f t="shared" si="68"/>
        <v>1.266144399745924</v>
      </c>
      <c r="Y41" s="3" t="s">
        <v>261</v>
      </c>
      <c r="Z41" s="11">
        <f>(Z12/Z27)*100</f>
        <v>1.433308806483152</v>
      </c>
      <c r="AA41" s="11">
        <f aca="true" t="shared" si="69" ref="AA41:AH41">(AA12/AA27)*100</f>
        <v>1.7034456058846303</v>
      </c>
      <c r="AB41" s="11">
        <f t="shared" si="69"/>
        <v>0.7577009974100402</v>
      </c>
      <c r="AC41" s="11">
        <f t="shared" si="69"/>
        <v>0.7506347278949111</v>
      </c>
      <c r="AD41" s="11">
        <f t="shared" si="69"/>
        <v>0.8305647840531563</v>
      </c>
      <c r="AE41" s="11">
        <f t="shared" si="69"/>
        <v>0.6595636732623034</v>
      </c>
      <c r="AF41" s="11">
        <f t="shared" si="69"/>
        <v>0.338409475465313</v>
      </c>
      <c r="AG41" s="11">
        <f t="shared" si="69"/>
        <v>0.9606439906790822</v>
      </c>
      <c r="AH41" s="12">
        <f t="shared" si="69"/>
        <v>1.266144399745924</v>
      </c>
      <c r="AJ41" s="3" t="s">
        <v>261</v>
      </c>
      <c r="AK41" s="62">
        <f t="shared" si="21"/>
        <v>95.90944172883972</v>
      </c>
      <c r="AL41" s="62">
        <f t="shared" si="22"/>
        <v>2.7013120658605607</v>
      </c>
      <c r="AM41" s="62">
        <f t="shared" si="23"/>
        <v>0.6688963210702341</v>
      </c>
      <c r="AN41" s="62">
        <f t="shared" si="24"/>
        <v>0.7203498842294829</v>
      </c>
      <c r="AO41" s="139">
        <f t="shared" si="25"/>
        <v>4.090558271160278</v>
      </c>
      <c r="AP41" s="181">
        <f t="shared" si="26"/>
        <v>100</v>
      </c>
      <c r="AR41" s="3" t="s">
        <v>259</v>
      </c>
      <c r="AS41" s="11">
        <f>(AS11/AS28)*100</f>
        <v>1.5846073497293705</v>
      </c>
      <c r="AT41" s="11">
        <f aca="true" t="shared" si="70" ref="AT41:BG41">(AT11/AT28)*100</f>
        <v>2.2840476838878008</v>
      </c>
      <c r="AU41" s="11">
        <f t="shared" si="70"/>
        <v>1.6455696202531647</v>
      </c>
      <c r="AV41" s="11">
        <f t="shared" si="70"/>
        <v>0.5392156862745098</v>
      </c>
      <c r="AW41" s="11">
        <f t="shared" si="70"/>
        <v>0.18832391713747645</v>
      </c>
      <c r="AX41" s="11">
        <f t="shared" si="70"/>
        <v>0.12315270935960591</v>
      </c>
      <c r="AY41" s="11">
        <f t="shared" si="70"/>
        <v>0.36719706242350064</v>
      </c>
      <c r="AZ41" s="11">
        <f t="shared" si="70"/>
        <v>0.08984725965858043</v>
      </c>
      <c r="BA41" s="11">
        <f t="shared" si="70"/>
        <v>0</v>
      </c>
      <c r="BB41" s="11">
        <f t="shared" si="70"/>
        <v>1.1764705882352942</v>
      </c>
      <c r="BC41" s="11">
        <f t="shared" si="70"/>
        <v>0.15469233413544173</v>
      </c>
      <c r="BD41" s="11">
        <f t="shared" si="70"/>
        <v>2.2770398481973433</v>
      </c>
      <c r="BE41" s="11">
        <f t="shared" si="70"/>
        <v>0.40409606465537035</v>
      </c>
      <c r="BF41" s="11">
        <f t="shared" si="70"/>
        <v>0.6539436807687175</v>
      </c>
      <c r="BG41" s="12">
        <f t="shared" si="70"/>
        <v>1.5120767439209106</v>
      </c>
      <c r="BI41" s="3" t="s">
        <v>261</v>
      </c>
      <c r="BJ41" s="191">
        <f t="shared" si="27"/>
        <v>29.73856209150327</v>
      </c>
      <c r="BK41" s="191">
        <f t="shared" si="28"/>
        <v>16.013071895424837</v>
      </c>
      <c r="BL41" s="191">
        <f t="shared" si="29"/>
        <v>13.725490196078432</v>
      </c>
      <c r="BM41" s="191">
        <f t="shared" si="30"/>
        <v>5.555555555555555</v>
      </c>
      <c r="BN41" s="191">
        <f t="shared" si="31"/>
        <v>6.209150326797386</v>
      </c>
      <c r="BO41" s="191">
        <f t="shared" si="32"/>
        <v>16.33986928104575</v>
      </c>
      <c r="BP41" s="191">
        <f t="shared" si="33"/>
        <v>4.57516339869281</v>
      </c>
      <c r="BQ41" s="191">
        <f t="shared" si="34"/>
        <v>1.6339869281045754</v>
      </c>
      <c r="BR41" s="192">
        <f t="shared" si="35"/>
        <v>3.9215686274509802</v>
      </c>
      <c r="BS41" s="193">
        <f t="shared" si="36"/>
        <v>2.287581699346405</v>
      </c>
      <c r="BT41" s="194">
        <f t="shared" si="37"/>
        <v>100</v>
      </c>
      <c r="BV41" s="3" t="s">
        <v>261</v>
      </c>
      <c r="BW41" s="11">
        <f>(BW12/BW27)*100</f>
        <v>2.756796268578788</v>
      </c>
      <c r="BX41" s="11">
        <f>(BX12/BX27)*100</f>
        <v>2.910356707098256</v>
      </c>
      <c r="BY41" s="12">
        <f>(BY12/BY27)*100</f>
        <v>2.8324056895485468</v>
      </c>
      <c r="CA41" s="3" t="s">
        <v>261</v>
      </c>
      <c r="CB41" s="62">
        <f t="shared" si="38"/>
        <v>57.18503937007874</v>
      </c>
      <c r="CC41" s="62">
        <f t="shared" si="39"/>
        <v>39.66535433070867</v>
      </c>
      <c r="CD41" s="62">
        <f t="shared" si="40"/>
        <v>1.673228346456693</v>
      </c>
      <c r="CE41" s="62">
        <f t="shared" si="41"/>
        <v>1.4763779527559056</v>
      </c>
      <c r="CF41" s="63">
        <f t="shared" si="42"/>
        <v>100.00000000000001</v>
      </c>
    </row>
    <row r="42" spans="1:84" ht="15">
      <c r="A42" s="3" t="s">
        <v>262</v>
      </c>
      <c r="B42" s="13">
        <f aca="true" t="shared" si="71" ref="B42:K42">(B13/B27)*100</f>
        <v>3.252952212780046</v>
      </c>
      <c r="C42" s="13">
        <f t="shared" si="71"/>
        <v>2.9467551822246305</v>
      </c>
      <c r="D42" s="13">
        <f t="shared" si="71"/>
        <v>2.3322180673095847</v>
      </c>
      <c r="E42" s="13">
        <f t="shared" si="71"/>
        <v>1.6075356760110553</v>
      </c>
      <c r="F42" s="13">
        <f t="shared" si="71"/>
        <v>1.2180575630428985</v>
      </c>
      <c r="G42" s="13">
        <f t="shared" si="71"/>
        <v>1.158899660449781</v>
      </c>
      <c r="H42" s="13">
        <f t="shared" si="71"/>
        <v>0.7232988718109988</v>
      </c>
      <c r="I42" s="13">
        <f t="shared" si="71"/>
        <v>0.5988675958188153</v>
      </c>
      <c r="J42" s="152">
        <f t="shared" si="71"/>
        <v>0.5624707046507994</v>
      </c>
      <c r="K42" s="14">
        <f t="shared" si="71"/>
        <v>1.541393182299386</v>
      </c>
      <c r="M42" s="3" t="s">
        <v>262</v>
      </c>
      <c r="N42" s="11">
        <f>(N13/N27)*100</f>
        <v>1.3973799126637554</v>
      </c>
      <c r="O42" s="11">
        <f aca="true" t="shared" si="72" ref="O42:W42">(O13/O27)*100</f>
        <v>1.8648018648018647</v>
      </c>
      <c r="P42" s="11">
        <f t="shared" si="72"/>
        <v>0.6927339901477833</v>
      </c>
      <c r="Q42" s="11">
        <f t="shared" si="72"/>
        <v>1.1750154607297465</v>
      </c>
      <c r="R42" s="11">
        <f t="shared" si="72"/>
        <v>1.6487513133435705</v>
      </c>
      <c r="S42" s="11">
        <f t="shared" si="72"/>
        <v>0.3605769230769231</v>
      </c>
      <c r="T42" s="11">
        <f t="shared" si="72"/>
        <v>2.9618082618862043</v>
      </c>
      <c r="U42" s="11">
        <f t="shared" si="72"/>
        <v>1.65095479816292</v>
      </c>
      <c r="V42" s="11">
        <f t="shared" si="72"/>
        <v>1.986150847949579</v>
      </c>
      <c r="W42" s="11">
        <f t="shared" si="72"/>
        <v>1.5238033192723008</v>
      </c>
      <c r="Y42" s="3" t="s">
        <v>262</v>
      </c>
      <c r="Z42" s="11">
        <f>(Z13/Z27)*100</f>
        <v>1.4378445938454405</v>
      </c>
      <c r="AA42" s="11">
        <f aca="true" t="shared" si="73" ref="AA42:AH42">(AA13/AA27)*100</f>
        <v>2.0561792919516497</v>
      </c>
      <c r="AB42" s="11">
        <f t="shared" si="73"/>
        <v>1.5622416928417922</v>
      </c>
      <c r="AC42" s="11">
        <f t="shared" si="73"/>
        <v>1.6199359752732088</v>
      </c>
      <c r="AD42" s="11">
        <f t="shared" si="73"/>
        <v>1.5145593120969318</v>
      </c>
      <c r="AE42" s="11">
        <f t="shared" si="73"/>
        <v>1.36986301369863</v>
      </c>
      <c r="AF42" s="11">
        <f t="shared" si="73"/>
        <v>1.8612521150592216</v>
      </c>
      <c r="AG42" s="11">
        <f t="shared" si="73"/>
        <v>1.6808967238632073</v>
      </c>
      <c r="AH42" s="12">
        <f t="shared" si="73"/>
        <v>1.5238033192723008</v>
      </c>
      <c r="AJ42" s="3" t="s">
        <v>262</v>
      </c>
      <c r="AK42" s="62">
        <f t="shared" si="21"/>
        <v>95.25438221462164</v>
      </c>
      <c r="AL42" s="62">
        <f t="shared" si="22"/>
        <v>3.3133817870884994</v>
      </c>
      <c r="AM42" s="62">
        <f t="shared" si="23"/>
        <v>0.705429670799487</v>
      </c>
      <c r="AN42" s="62">
        <f t="shared" si="24"/>
        <v>0.7268063274903805</v>
      </c>
      <c r="AO42" s="139">
        <f t="shared" si="25"/>
        <v>4.745617785378367</v>
      </c>
      <c r="AP42" s="181">
        <f t="shared" si="26"/>
        <v>100.00000000000001</v>
      </c>
      <c r="AR42" s="3" t="s">
        <v>260</v>
      </c>
      <c r="AS42" s="11">
        <f>(AS12/AS28)*100</f>
        <v>0.855806666033615</v>
      </c>
      <c r="AT42" s="11">
        <f aca="true" t="shared" si="74" ref="AT42:BG42">(AT12/AT28)*100</f>
        <v>0.5622271221877663</v>
      </c>
      <c r="AU42" s="11">
        <f t="shared" si="74"/>
        <v>0.4722492697176241</v>
      </c>
      <c r="AV42" s="11">
        <f t="shared" si="74"/>
        <v>0.4411764705882353</v>
      </c>
      <c r="AW42" s="11">
        <f t="shared" si="74"/>
        <v>0.18832391713747645</v>
      </c>
      <c r="AX42" s="11">
        <f t="shared" si="74"/>
        <v>0.06157635467980296</v>
      </c>
      <c r="AY42" s="11">
        <f t="shared" si="74"/>
        <v>0</v>
      </c>
      <c r="AZ42" s="11">
        <f t="shared" si="74"/>
        <v>0.08984725965858043</v>
      </c>
      <c r="BA42" s="11">
        <f t="shared" si="74"/>
        <v>0</v>
      </c>
      <c r="BB42" s="11">
        <f t="shared" si="74"/>
        <v>0.1568627450980392</v>
      </c>
      <c r="BC42" s="11">
        <f t="shared" si="74"/>
        <v>0.2578205568924029</v>
      </c>
      <c r="BD42" s="11">
        <f t="shared" si="74"/>
        <v>0.3795066413662239</v>
      </c>
      <c r="BE42" s="11">
        <f t="shared" si="74"/>
        <v>0.7638027888751129</v>
      </c>
      <c r="BF42" s="11">
        <f t="shared" si="74"/>
        <v>0.6005605231549446</v>
      </c>
      <c r="BG42" s="12">
        <f t="shared" si="74"/>
        <v>0.66255150735354</v>
      </c>
      <c r="BI42" s="3" t="s">
        <v>262</v>
      </c>
      <c r="BJ42" s="191">
        <f t="shared" si="27"/>
        <v>24.645390070921984</v>
      </c>
      <c r="BK42" s="191">
        <f t="shared" si="28"/>
        <v>12.056737588652481</v>
      </c>
      <c r="BL42" s="191">
        <f t="shared" si="29"/>
        <v>16.312056737588655</v>
      </c>
      <c r="BM42" s="191">
        <f t="shared" si="30"/>
        <v>10.99290780141844</v>
      </c>
      <c r="BN42" s="191">
        <f t="shared" si="31"/>
        <v>8.687943262411348</v>
      </c>
      <c r="BO42" s="191">
        <f t="shared" si="32"/>
        <v>13.829787234042554</v>
      </c>
      <c r="BP42" s="191">
        <f t="shared" si="33"/>
        <v>3.900709219858156</v>
      </c>
      <c r="BQ42" s="191">
        <f t="shared" si="34"/>
        <v>3.900709219858156</v>
      </c>
      <c r="BR42" s="192">
        <f t="shared" si="35"/>
        <v>3.0141843971631204</v>
      </c>
      <c r="BS42" s="193">
        <f t="shared" si="36"/>
        <v>2.6595744680851063</v>
      </c>
      <c r="BT42" s="194">
        <f t="shared" si="37"/>
        <v>100.00000000000001</v>
      </c>
      <c r="BV42" s="3" t="s">
        <v>262</v>
      </c>
      <c r="BW42" s="11">
        <f>(BW13/BW27)*100</f>
        <v>3.0422221448710363</v>
      </c>
      <c r="BX42" s="11">
        <f>(BX13/BX27)*100</f>
        <v>3.1328500681834495</v>
      </c>
      <c r="BY42" s="12">
        <f>(BY13/BY27)*100</f>
        <v>3.086845127661454</v>
      </c>
      <c r="CA42" s="3" t="s">
        <v>262</v>
      </c>
      <c r="CB42" s="62">
        <f t="shared" si="38"/>
        <v>53.47957639939486</v>
      </c>
      <c r="CC42" s="62">
        <f t="shared" si="39"/>
        <v>41.07413010590015</v>
      </c>
      <c r="CD42" s="62">
        <f t="shared" si="40"/>
        <v>2.798789712556732</v>
      </c>
      <c r="CE42" s="62">
        <f t="shared" si="41"/>
        <v>2.64750378214826</v>
      </c>
      <c r="CF42" s="63">
        <f t="shared" si="42"/>
        <v>100</v>
      </c>
    </row>
    <row r="43" spans="1:84" ht="15">
      <c r="A43" s="67" t="s">
        <v>133</v>
      </c>
      <c r="B43" s="116">
        <f aca="true" t="shared" si="75" ref="B43:K43">(B14/B27)*100</f>
        <v>11.174263326343672</v>
      </c>
      <c r="C43" s="116">
        <f t="shared" si="75"/>
        <v>14.557648015174095</v>
      </c>
      <c r="D43" s="116">
        <f t="shared" si="75"/>
        <v>15.695729187167881</v>
      </c>
      <c r="E43" s="116">
        <f t="shared" si="75"/>
        <v>9.939928930001692</v>
      </c>
      <c r="F43" s="116">
        <f t="shared" si="75"/>
        <v>9.87356337968875</v>
      </c>
      <c r="G43" s="116">
        <f t="shared" si="75"/>
        <v>10.892672604694651</v>
      </c>
      <c r="H43" s="116">
        <f t="shared" si="75"/>
        <v>11.973741106175558</v>
      </c>
      <c r="I43" s="116">
        <f t="shared" si="75"/>
        <v>11.645252613240418</v>
      </c>
      <c r="J43" s="151">
        <f t="shared" si="75"/>
        <v>9.61929066194469</v>
      </c>
      <c r="K43" s="164">
        <f t="shared" si="75"/>
        <v>10.859460251795632</v>
      </c>
      <c r="M43" s="67" t="s">
        <v>133</v>
      </c>
      <c r="N43" s="76">
        <f>(N14/N27)*100</f>
        <v>3.4940648256350326</v>
      </c>
      <c r="O43" s="76">
        <f aca="true" t="shared" si="76" ref="O43:W43">(O14/O27)*100</f>
        <v>62.04351204351204</v>
      </c>
      <c r="P43" s="76">
        <f t="shared" si="76"/>
        <v>92.93411330049261</v>
      </c>
      <c r="Q43" s="76">
        <f t="shared" si="76"/>
        <v>0.8658008658008658</v>
      </c>
      <c r="R43" s="76">
        <f t="shared" si="76"/>
        <v>53.46318596944961</v>
      </c>
      <c r="S43" s="76">
        <f t="shared" si="76"/>
        <v>82.57211538461539</v>
      </c>
      <c r="T43" s="76">
        <f t="shared" si="76"/>
        <v>15.276695245518315</v>
      </c>
      <c r="U43" s="76">
        <f t="shared" si="76"/>
        <v>4.591491418902587</v>
      </c>
      <c r="V43" s="76">
        <f t="shared" si="76"/>
        <v>8.695111332255255</v>
      </c>
      <c r="W43" s="76">
        <f t="shared" si="76"/>
        <v>10.859460251795632</v>
      </c>
      <c r="Y43" s="67" t="s">
        <v>133</v>
      </c>
      <c r="Z43" s="76">
        <f>(Z14/Z27)*100</f>
        <v>5.333077985304048</v>
      </c>
      <c r="AA43" s="76">
        <f aca="true" t="shared" si="77" ref="AA43:AH43">(AA14/AA27)*100</f>
        <v>24.14505097431927</v>
      </c>
      <c r="AB43" s="76">
        <f t="shared" si="77"/>
        <v>17.87898826252273</v>
      </c>
      <c r="AC43" s="76">
        <f t="shared" si="77"/>
        <v>18.6085660668948</v>
      </c>
      <c r="AD43" s="76">
        <f t="shared" si="77"/>
        <v>30.994723470783665</v>
      </c>
      <c r="AE43" s="76">
        <f t="shared" si="77"/>
        <v>28.817858954845256</v>
      </c>
      <c r="AF43" s="76">
        <f t="shared" si="77"/>
        <v>28.934010152284262</v>
      </c>
      <c r="AG43" s="76">
        <f t="shared" si="77"/>
        <v>20.95917032779789</v>
      </c>
      <c r="AH43" s="79">
        <f t="shared" si="77"/>
        <v>10.859460251795632</v>
      </c>
      <c r="AJ43" s="67" t="s">
        <v>133</v>
      </c>
      <c r="AK43" s="76">
        <f t="shared" si="21"/>
        <v>90.9652648629192</v>
      </c>
      <c r="AL43" s="76">
        <f t="shared" si="22"/>
        <v>5.381246625472434</v>
      </c>
      <c r="AM43" s="76">
        <f t="shared" si="23"/>
        <v>1.7127602135701</v>
      </c>
      <c r="AN43" s="76">
        <f t="shared" si="24"/>
        <v>1.9407282980382745</v>
      </c>
      <c r="AO43" s="179">
        <f t="shared" si="25"/>
        <v>9.034735137080808</v>
      </c>
      <c r="AP43" s="180">
        <f t="shared" si="26"/>
        <v>100.00000000000001</v>
      </c>
      <c r="AR43" s="3" t="s">
        <v>261</v>
      </c>
      <c r="AS43" s="11">
        <f>(AS13/AS28)*100</f>
        <v>1.864732693951192</v>
      </c>
      <c r="AT43" s="11">
        <f aca="true" t="shared" si="78" ref="AT43:BG43">(AT13/AT28)*100</f>
        <v>1.0822872102114502</v>
      </c>
      <c r="AU43" s="11">
        <f t="shared" si="78"/>
        <v>1.1684518013631937</v>
      </c>
      <c r="AV43" s="11">
        <f t="shared" si="78"/>
        <v>0.09803921568627451</v>
      </c>
      <c r="AW43" s="11">
        <f t="shared" si="78"/>
        <v>0.3766478342749529</v>
      </c>
      <c r="AX43" s="11">
        <f t="shared" si="78"/>
        <v>0.646551724137931</v>
      </c>
      <c r="AY43" s="11">
        <f t="shared" si="78"/>
        <v>0</v>
      </c>
      <c r="AZ43" s="11">
        <f t="shared" si="78"/>
        <v>0.08984725965858043</v>
      </c>
      <c r="BA43" s="11">
        <f t="shared" si="78"/>
        <v>0.5524861878453038</v>
      </c>
      <c r="BB43" s="11">
        <f t="shared" si="78"/>
        <v>1.019607843137255</v>
      </c>
      <c r="BC43" s="11">
        <f t="shared" si="78"/>
        <v>0.5328291509109659</v>
      </c>
      <c r="BD43" s="11">
        <f t="shared" si="78"/>
        <v>0.5692599620493358</v>
      </c>
      <c r="BE43" s="11">
        <f t="shared" si="78"/>
        <v>0.9505441520870643</v>
      </c>
      <c r="BF43" s="11">
        <f t="shared" si="78"/>
        <v>1.988522621113039</v>
      </c>
      <c r="BG43" s="12">
        <f t="shared" si="78"/>
        <v>1.266144399745924</v>
      </c>
      <c r="BI43" s="67" t="s">
        <v>133</v>
      </c>
      <c r="BJ43" s="121">
        <f t="shared" si="27"/>
        <v>20.037759597230963</v>
      </c>
      <c r="BK43" s="121">
        <f t="shared" si="28"/>
        <v>12.6117054751416</v>
      </c>
      <c r="BL43" s="121">
        <f t="shared" si="29"/>
        <v>15.984896161107615</v>
      </c>
      <c r="BM43" s="121">
        <f t="shared" si="30"/>
        <v>9.792322215229705</v>
      </c>
      <c r="BN43" s="121">
        <f t="shared" si="31"/>
        <v>9.439899307740717</v>
      </c>
      <c r="BO43" s="121">
        <f t="shared" si="32"/>
        <v>14.587791063561989</v>
      </c>
      <c r="BP43" s="121">
        <f t="shared" si="33"/>
        <v>4.757709251101322</v>
      </c>
      <c r="BQ43" s="121">
        <f t="shared" si="34"/>
        <v>4.430459408432977</v>
      </c>
      <c r="BR43" s="116">
        <f t="shared" si="35"/>
        <v>4.657016991818754</v>
      </c>
      <c r="BS43" s="155">
        <f t="shared" si="36"/>
        <v>3.700440528634361</v>
      </c>
      <c r="BT43" s="165">
        <f t="shared" si="37"/>
        <v>100</v>
      </c>
      <c r="BV43" s="67" t="s">
        <v>133</v>
      </c>
      <c r="BW43" s="76">
        <f>(BW14/BW27)*100</f>
        <v>12.673605068049707</v>
      </c>
      <c r="BX43" s="76">
        <f>(BX14/BX27)*100</f>
        <v>12.667767171463431</v>
      </c>
      <c r="BY43" s="79">
        <f>(BY14/BY27)*100</f>
        <v>12.670730629914303</v>
      </c>
      <c r="CA43" s="67" t="s">
        <v>133</v>
      </c>
      <c r="CB43" s="76">
        <f t="shared" si="38"/>
        <v>43.910654139337</v>
      </c>
      <c r="CC43" s="76">
        <f t="shared" si="39"/>
        <v>44.30065591207233</v>
      </c>
      <c r="CD43" s="76">
        <f t="shared" si="40"/>
        <v>8.136855167523489</v>
      </c>
      <c r="CE43" s="76">
        <f t="shared" si="41"/>
        <v>3.651834781067187</v>
      </c>
      <c r="CF43" s="79">
        <f t="shared" si="42"/>
        <v>100</v>
      </c>
    </row>
    <row r="44" spans="1:84" ht="15">
      <c r="A44" s="3" t="s">
        <v>263</v>
      </c>
      <c r="B44" s="153">
        <f aca="true" t="shared" si="79" ref="B44:K44">(B15/B27)*100</f>
        <v>1.6361328771658756</v>
      </c>
      <c r="C44" s="153">
        <f t="shared" si="79"/>
        <v>2.1135347513887006</v>
      </c>
      <c r="D44" s="153">
        <f t="shared" si="79"/>
        <v>2.9620153513087977</v>
      </c>
      <c r="E44" s="153">
        <f t="shared" si="79"/>
        <v>2.76101302949969</v>
      </c>
      <c r="F44" s="153">
        <f t="shared" si="79"/>
        <v>2.740629516846522</v>
      </c>
      <c r="G44" s="153">
        <f t="shared" si="79"/>
        <v>2.4900349392254317</v>
      </c>
      <c r="H44" s="153">
        <f t="shared" si="79"/>
        <v>3.6872518573843314</v>
      </c>
      <c r="I44" s="153">
        <f t="shared" si="79"/>
        <v>4.034189895470383</v>
      </c>
      <c r="J44" s="154">
        <f t="shared" si="79"/>
        <v>4.343523774803396</v>
      </c>
      <c r="K44" s="120">
        <f t="shared" si="79"/>
        <v>2.815029560742032</v>
      </c>
      <c r="M44" s="3" t="s">
        <v>263</v>
      </c>
      <c r="N44" s="43">
        <f>(N15/N27)*100</f>
        <v>0.6894642966972138</v>
      </c>
      <c r="O44" s="43">
        <f aca="true" t="shared" si="80" ref="O44:W44">(O15/O27)*100</f>
        <v>0.8158508158508158</v>
      </c>
      <c r="P44" s="43">
        <f t="shared" si="80"/>
        <v>66.8103448275862</v>
      </c>
      <c r="Q44" s="43">
        <f t="shared" si="80"/>
        <v>0.12368583797155226</v>
      </c>
      <c r="R44" s="43">
        <f t="shared" si="80"/>
        <v>5.0998141113715345</v>
      </c>
      <c r="S44" s="43">
        <f t="shared" si="80"/>
        <v>70.3125</v>
      </c>
      <c r="T44" s="43">
        <f t="shared" si="80"/>
        <v>9.50896336710834</v>
      </c>
      <c r="U44" s="43">
        <f t="shared" si="80"/>
        <v>0.7868020304568528</v>
      </c>
      <c r="V44" s="43">
        <f t="shared" si="80"/>
        <v>2.230791557822283</v>
      </c>
      <c r="W44" s="43">
        <f t="shared" si="80"/>
        <v>2.815029560742032</v>
      </c>
      <c r="Y44" s="3" t="s">
        <v>263</v>
      </c>
      <c r="Z44" s="43">
        <f>(Z15/Z27)*100</f>
        <v>1.627843686687968</v>
      </c>
      <c r="AA44" s="43">
        <f aca="true" t="shared" si="81" ref="AA44:AH44">(AA15/AA27)*100</f>
        <v>5.247988987826386</v>
      </c>
      <c r="AB44" s="43">
        <f t="shared" si="81"/>
        <v>4.634374827795227</v>
      </c>
      <c r="AC44" s="43">
        <f t="shared" si="81"/>
        <v>4.547963351363285</v>
      </c>
      <c r="AD44" s="43">
        <f t="shared" si="81"/>
        <v>6.654289622825875</v>
      </c>
      <c r="AE44" s="43">
        <f t="shared" si="81"/>
        <v>7.204464738711314</v>
      </c>
      <c r="AF44" s="43">
        <f t="shared" si="81"/>
        <v>6.598984771573605</v>
      </c>
      <c r="AG44" s="43">
        <f t="shared" si="81"/>
        <v>4.984664695642563</v>
      </c>
      <c r="AH44" s="44">
        <f t="shared" si="81"/>
        <v>2.815029560742032</v>
      </c>
      <c r="AJ44" s="3" t="s">
        <v>263</v>
      </c>
      <c r="AK44" s="62">
        <f t="shared" si="21"/>
        <v>88.35917611663967</v>
      </c>
      <c r="AL44" s="62">
        <f t="shared" si="22"/>
        <v>7.3941217310807685</v>
      </c>
      <c r="AM44" s="62">
        <f t="shared" si="23"/>
        <v>2.0481370053228423</v>
      </c>
      <c r="AN44" s="62">
        <f t="shared" si="24"/>
        <v>2.198565146956723</v>
      </c>
      <c r="AO44" s="139">
        <f t="shared" si="25"/>
        <v>11.640823883360333</v>
      </c>
      <c r="AP44" s="181">
        <f t="shared" si="26"/>
        <v>100.00000000000001</v>
      </c>
      <c r="AR44" s="3" t="s">
        <v>262</v>
      </c>
      <c r="AS44" s="11">
        <f>(AS14/AS28)*100</f>
        <v>1.9585034659576488</v>
      </c>
      <c r="AT44" s="11">
        <f aca="true" t="shared" si="82" ref="AT44:BG44">(AT14/AT28)*100</f>
        <v>1.040998655925786</v>
      </c>
      <c r="AU44" s="11">
        <f t="shared" si="82"/>
        <v>1.0272638753651413</v>
      </c>
      <c r="AV44" s="11">
        <f t="shared" si="82"/>
        <v>1.0784313725490196</v>
      </c>
      <c r="AW44" s="11">
        <f t="shared" si="82"/>
        <v>0.3766478342749529</v>
      </c>
      <c r="AX44" s="11">
        <f t="shared" si="82"/>
        <v>0.6773399014778325</v>
      </c>
      <c r="AY44" s="11">
        <f t="shared" si="82"/>
        <v>0.24479804161566704</v>
      </c>
      <c r="AZ44" s="11">
        <f t="shared" si="82"/>
        <v>0.3593890386343217</v>
      </c>
      <c r="BA44" s="11">
        <f t="shared" si="82"/>
        <v>0</v>
      </c>
      <c r="BB44" s="11">
        <f t="shared" si="82"/>
        <v>0.7058823529411765</v>
      </c>
      <c r="BC44" s="11">
        <f t="shared" si="82"/>
        <v>0.48126503953248534</v>
      </c>
      <c r="BD44" s="11">
        <f t="shared" si="82"/>
        <v>1.8975332068311195</v>
      </c>
      <c r="BE44" s="11">
        <f t="shared" si="82"/>
        <v>1.9301709754940228</v>
      </c>
      <c r="BF44" s="11">
        <f t="shared" si="82"/>
        <v>3.630054717736554</v>
      </c>
      <c r="BG44" s="12">
        <f t="shared" si="82"/>
        <v>1.5238033192723008</v>
      </c>
      <c r="BI44" s="3" t="s">
        <v>263</v>
      </c>
      <c r="BJ44" s="191">
        <f t="shared" si="27"/>
        <v>24.68864468864469</v>
      </c>
      <c r="BK44" s="191">
        <f t="shared" si="28"/>
        <v>11.941391941391942</v>
      </c>
      <c r="BL44" s="191">
        <f t="shared" si="29"/>
        <v>15.018315018315018</v>
      </c>
      <c r="BM44" s="191">
        <f t="shared" si="30"/>
        <v>8.424908424908425</v>
      </c>
      <c r="BN44" s="191">
        <f t="shared" si="31"/>
        <v>9.230769230769232</v>
      </c>
      <c r="BO44" s="191">
        <f t="shared" si="32"/>
        <v>12.967032967032969</v>
      </c>
      <c r="BP44" s="191">
        <f t="shared" si="33"/>
        <v>4.688644688644689</v>
      </c>
      <c r="BQ44" s="191">
        <f t="shared" si="34"/>
        <v>5.347985347985348</v>
      </c>
      <c r="BR44" s="192">
        <f t="shared" si="35"/>
        <v>4.249084249084249</v>
      </c>
      <c r="BS44" s="193">
        <f t="shared" si="36"/>
        <v>3.4432234432234434</v>
      </c>
      <c r="BT44" s="194">
        <f t="shared" si="37"/>
        <v>99.99999999999999</v>
      </c>
      <c r="BV44" s="3" t="s">
        <v>263</v>
      </c>
      <c r="BW44" s="43">
        <f>(BW15/BW27)*100</f>
        <v>1.8483065891607784</v>
      </c>
      <c r="BX44" s="43">
        <f>(BX15/BX27)*100</f>
        <v>1.9091365822148856</v>
      </c>
      <c r="BY44" s="44">
        <f>(BY15/BY27)*100</f>
        <v>1.8782577966251435</v>
      </c>
      <c r="CA44" s="3" t="s">
        <v>263</v>
      </c>
      <c r="CB44" s="62">
        <f t="shared" si="38"/>
        <v>53.900060938452164</v>
      </c>
      <c r="CC44" s="62">
        <f t="shared" si="39"/>
        <v>39.57952468007313</v>
      </c>
      <c r="CD44" s="62">
        <f t="shared" si="40"/>
        <v>4.357099329677026</v>
      </c>
      <c r="CE44" s="62">
        <f t="shared" si="41"/>
        <v>2.1633150517976842</v>
      </c>
      <c r="CF44" s="63">
        <f t="shared" si="42"/>
        <v>100</v>
      </c>
    </row>
    <row r="45" spans="1:84" ht="15">
      <c r="A45" s="3" t="s">
        <v>264</v>
      </c>
      <c r="B45" s="153">
        <f aca="true" t="shared" si="83" ref="B45:K45">(B16/B27)*100</f>
        <v>4.993930029798036</v>
      </c>
      <c r="C45" s="153">
        <f t="shared" si="83"/>
        <v>6.638666847310662</v>
      </c>
      <c r="D45" s="153">
        <f t="shared" si="83"/>
        <v>6.268451092304664</v>
      </c>
      <c r="E45" s="153">
        <f t="shared" si="83"/>
        <v>2.587568390772181</v>
      </c>
      <c r="F45" s="153">
        <f t="shared" si="83"/>
        <v>2.281752992520453</v>
      </c>
      <c r="G45" s="153">
        <f t="shared" si="83"/>
        <v>3.0608729885340287</v>
      </c>
      <c r="H45" s="153">
        <f t="shared" si="83"/>
        <v>2.877471598726365</v>
      </c>
      <c r="I45" s="153">
        <f t="shared" si="83"/>
        <v>2.5206881533101044</v>
      </c>
      <c r="J45" s="154">
        <f t="shared" si="83"/>
        <v>2.036352273319098</v>
      </c>
      <c r="K45" s="120">
        <f t="shared" si="83"/>
        <v>3.165523868466913</v>
      </c>
      <c r="M45" s="3" t="s">
        <v>264</v>
      </c>
      <c r="N45" s="43">
        <f>(N16/N27)*100</f>
        <v>0.11808844332369764</v>
      </c>
      <c r="O45" s="43">
        <f aca="true" t="shared" si="84" ref="O45:W45">(O16/O27)*100</f>
        <v>0.4662004662004662</v>
      </c>
      <c r="P45" s="43">
        <f t="shared" si="84"/>
        <v>0.708128078817734</v>
      </c>
      <c r="Q45" s="43">
        <f t="shared" si="84"/>
        <v>0.1855287569573284</v>
      </c>
      <c r="R45" s="43">
        <f t="shared" si="84"/>
        <v>35.45623535116786</v>
      </c>
      <c r="S45" s="43">
        <f t="shared" si="84"/>
        <v>1.0817307692307692</v>
      </c>
      <c r="T45" s="43">
        <f t="shared" si="84"/>
        <v>0.46765393608729544</v>
      </c>
      <c r="U45" s="43">
        <f t="shared" si="84"/>
        <v>0.2078801063572637</v>
      </c>
      <c r="V45" s="43">
        <f t="shared" si="84"/>
        <v>2.08981216569225</v>
      </c>
      <c r="W45" s="43">
        <f t="shared" si="84"/>
        <v>3.165523868466913</v>
      </c>
      <c r="Y45" s="3" t="s">
        <v>264</v>
      </c>
      <c r="Z45" s="43">
        <f>(Z16/Z27)*100</f>
        <v>1.6233078993256798</v>
      </c>
      <c r="AA45" s="43">
        <f aca="true" t="shared" si="85" ref="AA45:AH45">(AA16/AA27)*100</f>
        <v>9.063535079795242</v>
      </c>
      <c r="AB45" s="43">
        <f t="shared" si="85"/>
        <v>4.546205984460242</v>
      </c>
      <c r="AC45" s="43">
        <f t="shared" si="85"/>
        <v>4.271994701401921</v>
      </c>
      <c r="AD45" s="43">
        <f t="shared" si="85"/>
        <v>9.243697478991598</v>
      </c>
      <c r="AE45" s="43">
        <f t="shared" si="85"/>
        <v>9.487569761542364</v>
      </c>
      <c r="AF45" s="43">
        <f t="shared" si="85"/>
        <v>9.983079526226735</v>
      </c>
      <c r="AG45" s="43">
        <f t="shared" si="85"/>
        <v>5.983992336953018</v>
      </c>
      <c r="AH45" s="44">
        <f t="shared" si="85"/>
        <v>3.165523868466913</v>
      </c>
      <c r="AJ45" s="3" t="s">
        <v>264</v>
      </c>
      <c r="AK45" s="62">
        <f t="shared" si="21"/>
        <v>89.74068738423544</v>
      </c>
      <c r="AL45" s="62">
        <f t="shared" si="22"/>
        <v>5.752212389380531</v>
      </c>
      <c r="AM45" s="62">
        <f t="shared" si="23"/>
        <v>2.202099197365713</v>
      </c>
      <c r="AN45" s="62">
        <f t="shared" si="24"/>
        <v>2.3050010290183165</v>
      </c>
      <c r="AO45" s="139">
        <f t="shared" si="25"/>
        <v>10.25931261576456</v>
      </c>
      <c r="AP45" s="181">
        <f t="shared" si="26"/>
        <v>100</v>
      </c>
      <c r="AR45" s="67" t="s">
        <v>133</v>
      </c>
      <c r="AS45" s="76">
        <f>(AS15/AS28)*100</f>
        <v>20.13935048903238</v>
      </c>
      <c r="AT45" s="76">
        <f aca="true" t="shared" si="86" ref="AT45:BG45">(AT15/AT28)*100</f>
        <v>2.689026907838676</v>
      </c>
      <c r="AU45" s="76">
        <f t="shared" si="86"/>
        <v>3.7293086660175265</v>
      </c>
      <c r="AV45" s="76">
        <f t="shared" si="86"/>
        <v>0.6862745098039216</v>
      </c>
      <c r="AW45" s="76">
        <f t="shared" si="86"/>
        <v>1.694915254237288</v>
      </c>
      <c r="AX45" s="76">
        <f t="shared" si="86"/>
        <v>0.9544334975369458</v>
      </c>
      <c r="AY45" s="76">
        <f t="shared" si="86"/>
        <v>1.101591187270502</v>
      </c>
      <c r="AZ45" s="76">
        <f t="shared" si="86"/>
        <v>1.3477088948787064</v>
      </c>
      <c r="BA45" s="76">
        <f t="shared" si="86"/>
        <v>2.209944751381215</v>
      </c>
      <c r="BB45" s="76">
        <f t="shared" si="86"/>
        <v>3.294117647058824</v>
      </c>
      <c r="BC45" s="76">
        <f t="shared" si="86"/>
        <v>0.6703334479202475</v>
      </c>
      <c r="BD45" s="76">
        <f t="shared" si="86"/>
        <v>0.9487666034155597</v>
      </c>
      <c r="BE45" s="76">
        <f t="shared" si="86"/>
        <v>17.26439209563607</v>
      </c>
      <c r="BF45" s="76">
        <f t="shared" si="86"/>
        <v>14.640330975577207</v>
      </c>
      <c r="BG45" s="79">
        <f t="shared" si="86"/>
        <v>10.859460251795632</v>
      </c>
      <c r="BI45" s="3" t="s">
        <v>264</v>
      </c>
      <c r="BJ45" s="191">
        <f t="shared" si="27"/>
        <v>17.769320843091336</v>
      </c>
      <c r="BK45" s="191">
        <f t="shared" si="28"/>
        <v>12.353629976580796</v>
      </c>
      <c r="BL45" s="191">
        <f t="shared" si="29"/>
        <v>15.837236533957846</v>
      </c>
      <c r="BM45" s="191">
        <f t="shared" si="30"/>
        <v>10.685011709601874</v>
      </c>
      <c r="BN45" s="191">
        <f t="shared" si="31"/>
        <v>9.836065573770492</v>
      </c>
      <c r="BO45" s="191">
        <f t="shared" si="32"/>
        <v>15.778688524590164</v>
      </c>
      <c r="BP45" s="191">
        <f t="shared" si="33"/>
        <v>4.8009367681498825</v>
      </c>
      <c r="BQ45" s="191">
        <f t="shared" si="34"/>
        <v>4.274004683840749</v>
      </c>
      <c r="BR45" s="192">
        <f t="shared" si="35"/>
        <v>4.976580796252927</v>
      </c>
      <c r="BS45" s="193">
        <f t="shared" si="36"/>
        <v>3.6885245901639343</v>
      </c>
      <c r="BT45" s="194">
        <f t="shared" si="37"/>
        <v>100</v>
      </c>
      <c r="BV45" s="3" t="s">
        <v>264</v>
      </c>
      <c r="BW45" s="43">
        <f>(BW16/BW27)*100</f>
        <v>5.76072957638623</v>
      </c>
      <c r="BX45" s="43">
        <f>(BX16/BX27)*100</f>
        <v>5.608985860905763</v>
      </c>
      <c r="BY45" s="44">
        <f>(BY16/BY27)*100</f>
        <v>5.6860146656065025</v>
      </c>
      <c r="CA45" s="3" t="s">
        <v>264</v>
      </c>
      <c r="CB45" s="62">
        <f t="shared" si="38"/>
        <v>28.126159554730982</v>
      </c>
      <c r="CC45" s="62">
        <f t="shared" si="39"/>
        <v>50.90909090909091</v>
      </c>
      <c r="CD45" s="62">
        <f t="shared" si="40"/>
        <v>15.769944341372913</v>
      </c>
      <c r="CE45" s="62">
        <f t="shared" si="41"/>
        <v>5.194805194805195</v>
      </c>
      <c r="CF45" s="63">
        <f t="shared" si="42"/>
        <v>99.99999999999999</v>
      </c>
    </row>
    <row r="46" spans="1:84" ht="15">
      <c r="A46" s="3" t="s">
        <v>265</v>
      </c>
      <c r="B46" s="153">
        <f aca="true" t="shared" si="87" ref="B46:K46">(B17/B27)*100</f>
        <v>0.6290696391126808</v>
      </c>
      <c r="C46" s="153">
        <f t="shared" si="87"/>
        <v>0.8941877794336811</v>
      </c>
      <c r="D46" s="153">
        <f t="shared" si="87"/>
        <v>0.9742176736862822</v>
      </c>
      <c r="E46" s="153">
        <f t="shared" si="87"/>
        <v>0.45123808449433134</v>
      </c>
      <c r="F46" s="153">
        <f t="shared" si="87"/>
        <v>0.4195843448730722</v>
      </c>
      <c r="G46" s="153">
        <f t="shared" si="87"/>
        <v>0.4527336253137149</v>
      </c>
      <c r="H46" s="153">
        <f t="shared" si="87"/>
        <v>0.35771846377609184</v>
      </c>
      <c r="I46" s="153">
        <f t="shared" si="87"/>
        <v>0.4028745644599303</v>
      </c>
      <c r="J46" s="154">
        <f t="shared" si="87"/>
        <v>0.3437320972865997</v>
      </c>
      <c r="K46" s="120">
        <f t="shared" si="87"/>
        <v>0.4863271388784834</v>
      </c>
      <c r="M46" s="3" t="s">
        <v>265</v>
      </c>
      <c r="N46" s="43">
        <f>(N17/N27)*100</f>
        <v>0.02091149517190479</v>
      </c>
      <c r="O46" s="43">
        <f aca="true" t="shared" si="88" ref="O46:W46">(O17/O27)*100</f>
        <v>0.03885003885003885</v>
      </c>
      <c r="P46" s="43">
        <f t="shared" si="88"/>
        <v>0.2770935960591133</v>
      </c>
      <c r="Q46" s="43">
        <f t="shared" si="88"/>
        <v>0.24737167594310452</v>
      </c>
      <c r="R46" s="43">
        <f t="shared" si="88"/>
        <v>5.043239311403863</v>
      </c>
      <c r="S46" s="43">
        <f t="shared" si="88"/>
        <v>0</v>
      </c>
      <c r="T46" s="43">
        <f t="shared" si="88"/>
        <v>0.6235385814497272</v>
      </c>
      <c r="U46" s="43">
        <f t="shared" si="88"/>
        <v>0.10394005317863185</v>
      </c>
      <c r="V46" s="43">
        <f t="shared" si="88"/>
        <v>0.3897665547124435</v>
      </c>
      <c r="W46" s="43">
        <f t="shared" si="88"/>
        <v>0.4863271388784834</v>
      </c>
      <c r="Y46" s="3" t="s">
        <v>265</v>
      </c>
      <c r="Z46" s="43">
        <f>(Z17/Z27)*100</f>
        <v>0.36034310711513845</v>
      </c>
      <c r="AA46" s="43">
        <f aca="true" t="shared" si="89" ref="AA46:AH46">(AA17/AA27)*100</f>
        <v>0.98507334279692</v>
      </c>
      <c r="AB46" s="43">
        <f t="shared" si="89"/>
        <v>0.8128065244944067</v>
      </c>
      <c r="AC46" s="43">
        <f t="shared" si="89"/>
        <v>0.480185450932774</v>
      </c>
      <c r="AD46" s="43">
        <f t="shared" si="89"/>
        <v>0.6351377760406488</v>
      </c>
      <c r="AE46" s="43">
        <f t="shared" si="89"/>
        <v>0.5073566717402334</v>
      </c>
      <c r="AF46" s="43">
        <f t="shared" si="89"/>
        <v>0.8460236886632826</v>
      </c>
      <c r="AG46" s="43">
        <f t="shared" si="89"/>
        <v>0.7165685759811371</v>
      </c>
      <c r="AH46" s="44">
        <f t="shared" si="89"/>
        <v>0.4863271388784834</v>
      </c>
      <c r="AJ46" s="3" t="s">
        <v>265</v>
      </c>
      <c r="AK46" s="62">
        <f t="shared" si="21"/>
        <v>90.55592766242465</v>
      </c>
      <c r="AL46" s="62">
        <f t="shared" si="22"/>
        <v>5.35833891493637</v>
      </c>
      <c r="AM46" s="62">
        <f t="shared" si="23"/>
        <v>1.406563965170797</v>
      </c>
      <c r="AN46" s="62">
        <f t="shared" si="24"/>
        <v>2.679169457468185</v>
      </c>
      <c r="AO46" s="139">
        <f t="shared" si="25"/>
        <v>9.444072337575351</v>
      </c>
      <c r="AP46" s="181">
        <f t="shared" si="26"/>
        <v>100.00000000000001</v>
      </c>
      <c r="AR46" s="3" t="s">
        <v>263</v>
      </c>
      <c r="AS46" s="43">
        <f>(AS16/AS28)*100</f>
        <v>6.026255816161808</v>
      </c>
      <c r="AT46" s="43">
        <f aca="true" t="shared" si="90" ref="AT46:BG46">(AT16/AT28)*100</f>
        <v>0.8415837235248127</v>
      </c>
      <c r="AU46" s="43">
        <f t="shared" si="90"/>
        <v>1.3242453748782863</v>
      </c>
      <c r="AV46" s="43">
        <f t="shared" si="90"/>
        <v>0.29411764705882354</v>
      </c>
      <c r="AW46" s="43">
        <f t="shared" si="90"/>
        <v>0.3766478342749529</v>
      </c>
      <c r="AX46" s="43">
        <f t="shared" si="90"/>
        <v>0.18472906403940886</v>
      </c>
      <c r="AY46" s="43">
        <f t="shared" si="90"/>
        <v>0.36719706242350064</v>
      </c>
      <c r="AZ46" s="43">
        <f t="shared" si="90"/>
        <v>0.628930817610063</v>
      </c>
      <c r="BA46" s="43">
        <f t="shared" si="90"/>
        <v>0.5524861878453038</v>
      </c>
      <c r="BB46" s="43">
        <f t="shared" si="90"/>
        <v>0.9411764705882352</v>
      </c>
      <c r="BC46" s="43">
        <f t="shared" si="90"/>
        <v>0.08594018563080096</v>
      </c>
      <c r="BD46" s="43">
        <f t="shared" si="90"/>
        <v>0.3795066413662239</v>
      </c>
      <c r="BE46" s="43">
        <f t="shared" si="90"/>
        <v>3.222053848861949</v>
      </c>
      <c r="BF46" s="43">
        <f t="shared" si="90"/>
        <v>2.4823168290404376</v>
      </c>
      <c r="BG46" s="44">
        <f t="shared" si="90"/>
        <v>2.815029560742032</v>
      </c>
      <c r="BI46" s="3" t="s">
        <v>265</v>
      </c>
      <c r="BJ46" s="191">
        <f t="shared" si="27"/>
        <v>16.595744680851062</v>
      </c>
      <c r="BK46" s="191">
        <f t="shared" si="28"/>
        <v>11.702127659574469</v>
      </c>
      <c r="BL46" s="191">
        <f t="shared" si="29"/>
        <v>16.80851063829787</v>
      </c>
      <c r="BM46" s="191">
        <f t="shared" si="30"/>
        <v>11.48936170212766</v>
      </c>
      <c r="BN46" s="191">
        <f t="shared" si="31"/>
        <v>8.51063829787234</v>
      </c>
      <c r="BO46" s="191">
        <f t="shared" si="32"/>
        <v>15.319148936170212</v>
      </c>
      <c r="BP46" s="191">
        <f t="shared" si="33"/>
        <v>5.106382978723404</v>
      </c>
      <c r="BQ46" s="191">
        <f t="shared" si="34"/>
        <v>6.595744680851063</v>
      </c>
      <c r="BR46" s="192">
        <f t="shared" si="35"/>
        <v>3.6170212765957444</v>
      </c>
      <c r="BS46" s="193">
        <f t="shared" si="36"/>
        <v>4.25531914893617</v>
      </c>
      <c r="BT46" s="194">
        <f t="shared" si="37"/>
        <v>100</v>
      </c>
      <c r="BV46" s="3" t="s">
        <v>265</v>
      </c>
      <c r="BW46" s="43">
        <f>(BW17/BW27)*100</f>
        <v>0.7240071008388735</v>
      </c>
      <c r="BX46" s="43">
        <f>(BX17/BX27)*100</f>
        <v>0.7607837508074357</v>
      </c>
      <c r="BY46" s="44">
        <f>(BY17/BY27)*100</f>
        <v>0.7421150278293136</v>
      </c>
      <c r="CA46" s="3" t="s">
        <v>265</v>
      </c>
      <c r="CB46" s="62">
        <f t="shared" si="38"/>
        <v>35.53530751708428</v>
      </c>
      <c r="CC46" s="62">
        <f t="shared" si="39"/>
        <v>47.380410022779046</v>
      </c>
      <c r="CD46" s="62">
        <f t="shared" si="40"/>
        <v>11.845102505694761</v>
      </c>
      <c r="CE46" s="62">
        <f t="shared" si="41"/>
        <v>5.239179954441914</v>
      </c>
      <c r="CF46" s="63">
        <f t="shared" si="42"/>
        <v>100</v>
      </c>
    </row>
    <row r="47" spans="1:84" ht="15">
      <c r="A47" s="3" t="s">
        <v>266</v>
      </c>
      <c r="B47" s="153">
        <f aca="true" t="shared" si="91" ref="B47:K47">(B18/B27)*100</f>
        <v>0.5573336276349189</v>
      </c>
      <c r="C47" s="153">
        <f t="shared" si="91"/>
        <v>0.7993496816149572</v>
      </c>
      <c r="D47" s="153">
        <f t="shared" si="91"/>
        <v>1.0332611690612084</v>
      </c>
      <c r="E47" s="153">
        <f t="shared" si="91"/>
        <v>1.5990749619267866</v>
      </c>
      <c r="F47" s="153">
        <f t="shared" si="91"/>
        <v>1.3078682589354624</v>
      </c>
      <c r="G47" s="153">
        <f t="shared" si="91"/>
        <v>1.2302544166133558</v>
      </c>
      <c r="H47" s="153">
        <f t="shared" si="91"/>
        <v>1.3443924682574</v>
      </c>
      <c r="I47" s="153">
        <f t="shared" si="91"/>
        <v>1.1160714285714286</v>
      </c>
      <c r="J47" s="154">
        <f t="shared" si="91"/>
        <v>0.9218269881776991</v>
      </c>
      <c r="K47" s="120">
        <f t="shared" si="91"/>
        <v>1.210117428622616</v>
      </c>
      <c r="M47" s="3" t="s">
        <v>266</v>
      </c>
      <c r="N47" s="43">
        <f>(N18/N27)*100</f>
        <v>0.6021280521557292</v>
      </c>
      <c r="O47" s="43">
        <f aca="true" t="shared" si="92" ref="O47:W47">(O18/O27)*100</f>
        <v>17.832167832167833</v>
      </c>
      <c r="P47" s="43">
        <f t="shared" si="92"/>
        <v>0.12315270935960591</v>
      </c>
      <c r="Q47" s="43">
        <f t="shared" si="92"/>
        <v>0</v>
      </c>
      <c r="R47" s="43">
        <f t="shared" si="92"/>
        <v>0.2828739998383577</v>
      </c>
      <c r="S47" s="43">
        <f t="shared" si="92"/>
        <v>0.1201923076923077</v>
      </c>
      <c r="T47" s="43">
        <f t="shared" si="92"/>
        <v>1.9485580670303975</v>
      </c>
      <c r="U47" s="43">
        <f t="shared" si="92"/>
        <v>2.2129562484892435</v>
      </c>
      <c r="V47" s="43">
        <f t="shared" si="92"/>
        <v>1.4180868267197413</v>
      </c>
      <c r="W47" s="43">
        <f t="shared" si="92"/>
        <v>1.210117428622616</v>
      </c>
      <c r="Y47" s="3" t="s">
        <v>266</v>
      </c>
      <c r="Z47" s="43">
        <f>(Z18/Z27)*100</f>
        <v>0.52211952303676</v>
      </c>
      <c r="AA47" s="43">
        <f aca="true" t="shared" si="93" ref="AA47:AH47">(AA18/AA27)*100</f>
        <v>2.1766249408525833</v>
      </c>
      <c r="AB47" s="43">
        <f t="shared" si="93"/>
        <v>2.71945776161349</v>
      </c>
      <c r="AC47" s="43">
        <f t="shared" si="93"/>
        <v>2.2932994811789382</v>
      </c>
      <c r="AD47" s="43">
        <f t="shared" si="93"/>
        <v>2.7652921633769787</v>
      </c>
      <c r="AE47" s="43">
        <f t="shared" si="93"/>
        <v>2.6889903602232366</v>
      </c>
      <c r="AF47" s="43">
        <f t="shared" si="93"/>
        <v>3.2148900169204735</v>
      </c>
      <c r="AG47" s="43">
        <f t="shared" si="93"/>
        <v>2.4674642867011136</v>
      </c>
      <c r="AH47" s="44">
        <f t="shared" si="93"/>
        <v>1.210117428622616</v>
      </c>
      <c r="AJ47" s="3" t="s">
        <v>266</v>
      </c>
      <c r="AK47" s="62">
        <f t="shared" si="21"/>
        <v>94.77792732166891</v>
      </c>
      <c r="AL47" s="62">
        <f t="shared" si="22"/>
        <v>3.7954239569313595</v>
      </c>
      <c r="AM47" s="62">
        <f t="shared" si="23"/>
        <v>0.7267833109017496</v>
      </c>
      <c r="AN47" s="62">
        <f t="shared" si="24"/>
        <v>0.6998654104979811</v>
      </c>
      <c r="AO47" s="139">
        <f t="shared" si="25"/>
        <v>5.222072678331091</v>
      </c>
      <c r="AP47" s="181">
        <f t="shared" si="26"/>
        <v>100</v>
      </c>
      <c r="AR47" s="3" t="s">
        <v>264</v>
      </c>
      <c r="AS47" s="43">
        <f>(AS17/AS28)*100</f>
        <v>5.957411451903902</v>
      </c>
      <c r="AT47" s="43">
        <f aca="true" t="shared" si="94" ref="AT47:BG47">(AT17/AT28)*100</f>
        <v>0.7150826210325653</v>
      </c>
      <c r="AU47" s="43">
        <f t="shared" si="94"/>
        <v>1.0272638753651413</v>
      </c>
      <c r="AV47" s="43">
        <f t="shared" si="94"/>
        <v>0.09803921568627451</v>
      </c>
      <c r="AW47" s="43">
        <f t="shared" si="94"/>
        <v>0</v>
      </c>
      <c r="AX47" s="43">
        <f t="shared" si="94"/>
        <v>0.24630541871921183</v>
      </c>
      <c r="AY47" s="43">
        <f t="shared" si="94"/>
        <v>0.4895960832313341</v>
      </c>
      <c r="AZ47" s="43">
        <f t="shared" si="94"/>
        <v>0</v>
      </c>
      <c r="BA47" s="43">
        <f t="shared" si="94"/>
        <v>0.5524861878453038</v>
      </c>
      <c r="BB47" s="43">
        <f t="shared" si="94"/>
        <v>0.5490196078431373</v>
      </c>
      <c r="BC47" s="43">
        <f t="shared" si="94"/>
        <v>0.2578205568924029</v>
      </c>
      <c r="BD47" s="43">
        <f t="shared" si="94"/>
        <v>0</v>
      </c>
      <c r="BE47" s="43">
        <f t="shared" si="94"/>
        <v>5.104774150097198</v>
      </c>
      <c r="BF47" s="43">
        <f t="shared" si="94"/>
        <v>4.030428399839851</v>
      </c>
      <c r="BG47" s="44">
        <f t="shared" si="94"/>
        <v>3.165523868466913</v>
      </c>
      <c r="BI47" s="3" t="s">
        <v>266</v>
      </c>
      <c r="BJ47" s="191">
        <f t="shared" si="27"/>
        <v>29.494949494949495</v>
      </c>
      <c r="BK47" s="191">
        <f t="shared" si="28"/>
        <v>10.707070707070706</v>
      </c>
      <c r="BL47" s="191">
        <f t="shared" si="29"/>
        <v>12.121212121212121</v>
      </c>
      <c r="BM47" s="191">
        <f t="shared" si="30"/>
        <v>8.686868686868687</v>
      </c>
      <c r="BN47" s="191">
        <f t="shared" si="31"/>
        <v>8.686868686868687</v>
      </c>
      <c r="BO47" s="191">
        <f t="shared" si="32"/>
        <v>12.525252525252526</v>
      </c>
      <c r="BP47" s="191">
        <f t="shared" si="33"/>
        <v>4.646464646464646</v>
      </c>
      <c r="BQ47" s="191">
        <f t="shared" si="34"/>
        <v>3.8383838383838382</v>
      </c>
      <c r="BR47" s="192">
        <f t="shared" si="35"/>
        <v>5.252525252525253</v>
      </c>
      <c r="BS47" s="193">
        <f t="shared" si="36"/>
        <v>4.040404040404041</v>
      </c>
      <c r="BT47" s="194">
        <f t="shared" si="37"/>
        <v>100</v>
      </c>
      <c r="BV47" s="3" t="s">
        <v>266</v>
      </c>
      <c r="BW47" s="43">
        <f>(BW18/BW27)*100</f>
        <v>0.6126213930175085</v>
      </c>
      <c r="BX47" s="43">
        <f>(BX18/BX27)*100</f>
        <v>0.7141319170315079</v>
      </c>
      <c r="BY47" s="44">
        <f>(BY18/BY27)*100</f>
        <v>0.6626027034190299</v>
      </c>
      <c r="CA47" s="3" t="s">
        <v>266</v>
      </c>
      <c r="CB47" s="62">
        <f t="shared" si="38"/>
        <v>55.39661898569571</v>
      </c>
      <c r="CC47" s="62">
        <f t="shared" si="39"/>
        <v>40.05201560468141</v>
      </c>
      <c r="CD47" s="62">
        <f t="shared" si="40"/>
        <v>2.7308192457737324</v>
      </c>
      <c r="CE47" s="62">
        <f t="shared" si="41"/>
        <v>1.8205461638491547</v>
      </c>
      <c r="CF47" s="63">
        <f t="shared" si="42"/>
        <v>100</v>
      </c>
    </row>
    <row r="48" spans="1:84" ht="15">
      <c r="A48" s="3" t="s">
        <v>267</v>
      </c>
      <c r="B48" s="153">
        <f aca="true" t="shared" si="95" ref="B48:K48">(B19/B27)*100</f>
        <v>3.3577971526321595</v>
      </c>
      <c r="C48" s="153">
        <f t="shared" si="95"/>
        <v>4.111908955426094</v>
      </c>
      <c r="D48" s="153">
        <f t="shared" si="95"/>
        <v>4.457783900806928</v>
      </c>
      <c r="E48" s="153">
        <f t="shared" si="95"/>
        <v>2.541034463308703</v>
      </c>
      <c r="F48" s="153">
        <f t="shared" si="95"/>
        <v>3.12372826651324</v>
      </c>
      <c r="G48" s="153">
        <f t="shared" si="95"/>
        <v>3.6587766350081194</v>
      </c>
      <c r="H48" s="153">
        <f t="shared" si="95"/>
        <v>3.706906718031369</v>
      </c>
      <c r="I48" s="153">
        <f t="shared" si="95"/>
        <v>3.571428571428571</v>
      </c>
      <c r="J48" s="154">
        <f t="shared" si="95"/>
        <v>1.973855528357898</v>
      </c>
      <c r="K48" s="120">
        <f t="shared" si="95"/>
        <v>3.182462255085588</v>
      </c>
      <c r="M48" s="3" t="s">
        <v>267</v>
      </c>
      <c r="N48" s="43">
        <f>(N19/N27)*100</f>
        <v>2.0634725382864874</v>
      </c>
      <c r="O48" s="43">
        <f aca="true" t="shared" si="96" ref="O48:W48">(O19/O27)*100</f>
        <v>42.89044289044289</v>
      </c>
      <c r="P48" s="43">
        <f t="shared" si="96"/>
        <v>25.01539408866995</v>
      </c>
      <c r="Q48" s="43">
        <f t="shared" si="96"/>
        <v>0.30921459492888065</v>
      </c>
      <c r="R48" s="43">
        <f t="shared" si="96"/>
        <v>7.581023195667987</v>
      </c>
      <c r="S48" s="43">
        <f t="shared" si="96"/>
        <v>11.057692307692307</v>
      </c>
      <c r="T48" s="43">
        <f t="shared" si="96"/>
        <v>2.7279812938425563</v>
      </c>
      <c r="U48" s="43">
        <f t="shared" si="96"/>
        <v>1.2799129804205946</v>
      </c>
      <c r="V48" s="43">
        <f t="shared" si="96"/>
        <v>2.5666542273085375</v>
      </c>
      <c r="W48" s="43">
        <f t="shared" si="96"/>
        <v>3.182462255085588</v>
      </c>
      <c r="Y48" s="3" t="s">
        <v>267</v>
      </c>
      <c r="Z48" s="43">
        <f>(Z19/Z27)*100</f>
        <v>1.1994637691385028</v>
      </c>
      <c r="AA48" s="43">
        <f aca="true" t="shared" si="97" ref="AA48:AH48">(AA19/AA27)*100</f>
        <v>6.671828623048135</v>
      </c>
      <c r="AB48" s="43">
        <f t="shared" si="97"/>
        <v>5.166143164159365</v>
      </c>
      <c r="AC48" s="43">
        <f t="shared" si="97"/>
        <v>7.015123082017882</v>
      </c>
      <c r="AD48" s="43">
        <f t="shared" si="97"/>
        <v>11.696306429548564</v>
      </c>
      <c r="AE48" s="43">
        <f t="shared" si="97"/>
        <v>8.929477422628107</v>
      </c>
      <c r="AF48" s="43">
        <f t="shared" si="97"/>
        <v>8.29103214890017</v>
      </c>
      <c r="AG48" s="43">
        <f t="shared" si="97"/>
        <v>6.806480432520055</v>
      </c>
      <c r="AH48" s="44">
        <f t="shared" si="97"/>
        <v>3.182462255085588</v>
      </c>
      <c r="AJ48" s="3" t="s">
        <v>267</v>
      </c>
      <c r="AK48" s="62">
        <f t="shared" si="21"/>
        <v>93.10133060388945</v>
      </c>
      <c r="AL48" s="62">
        <f t="shared" si="22"/>
        <v>3.8382804503582397</v>
      </c>
      <c r="AM48" s="62">
        <f t="shared" si="23"/>
        <v>1.3510747185261003</v>
      </c>
      <c r="AN48" s="62">
        <f t="shared" si="24"/>
        <v>1.7093142272262027</v>
      </c>
      <c r="AO48" s="139">
        <f t="shared" si="25"/>
        <v>6.898669396110542</v>
      </c>
      <c r="AP48" s="181">
        <f t="shared" si="26"/>
        <v>100</v>
      </c>
      <c r="AR48" s="3" t="s">
        <v>265</v>
      </c>
      <c r="AS48" s="43">
        <f>(AS18/AS28)*100</f>
        <v>1.1929066565378406</v>
      </c>
      <c r="AT48" s="43">
        <f aca="true" t="shared" si="98" ref="AT48:BG48">(AT18/AT28)*100</f>
        <v>0.12913654212750258</v>
      </c>
      <c r="AU48" s="43">
        <f t="shared" si="98"/>
        <v>0.15579357351509251</v>
      </c>
      <c r="AV48" s="43">
        <f t="shared" si="98"/>
        <v>0</v>
      </c>
      <c r="AW48" s="43">
        <f t="shared" si="98"/>
        <v>0.7532956685499058</v>
      </c>
      <c r="AX48" s="43">
        <f t="shared" si="98"/>
        <v>0</v>
      </c>
      <c r="AY48" s="43">
        <f t="shared" si="98"/>
        <v>0.12239902080783352</v>
      </c>
      <c r="AZ48" s="43">
        <f t="shared" si="98"/>
        <v>0</v>
      </c>
      <c r="BA48" s="43">
        <f t="shared" si="98"/>
        <v>0</v>
      </c>
      <c r="BB48" s="43">
        <f t="shared" si="98"/>
        <v>0.1568627450980392</v>
      </c>
      <c r="BC48" s="43">
        <f t="shared" si="98"/>
        <v>0.034376074252320386</v>
      </c>
      <c r="BD48" s="43">
        <f t="shared" si="98"/>
        <v>0</v>
      </c>
      <c r="BE48" s="43">
        <f t="shared" si="98"/>
        <v>0.39032006245121</v>
      </c>
      <c r="BF48" s="43">
        <f t="shared" si="98"/>
        <v>0.6005605231549446</v>
      </c>
      <c r="BG48" s="44">
        <f t="shared" si="98"/>
        <v>0.4863271388784834</v>
      </c>
      <c r="BI48" s="3" t="s">
        <v>267</v>
      </c>
      <c r="BJ48" s="191">
        <f t="shared" si="27"/>
        <v>19.28149158708504</v>
      </c>
      <c r="BK48" s="191">
        <f t="shared" si="28"/>
        <v>14.051841746248295</v>
      </c>
      <c r="BL48" s="191">
        <f t="shared" si="29"/>
        <v>17.507958162801273</v>
      </c>
      <c r="BM48" s="191">
        <f t="shared" si="30"/>
        <v>9.140518417462483</v>
      </c>
      <c r="BN48" s="191">
        <f t="shared" si="31"/>
        <v>9.322419281491587</v>
      </c>
      <c r="BO48" s="191">
        <f t="shared" si="32"/>
        <v>14.051841746248295</v>
      </c>
      <c r="BP48" s="191">
        <f t="shared" si="33"/>
        <v>4.683947248749432</v>
      </c>
      <c r="BQ48" s="191">
        <f t="shared" si="34"/>
        <v>3.774442928603911</v>
      </c>
      <c r="BR48" s="192">
        <f t="shared" si="35"/>
        <v>4.502046384720328</v>
      </c>
      <c r="BS48" s="193">
        <f t="shared" si="36"/>
        <v>3.6834924965893587</v>
      </c>
      <c r="BT48" s="194">
        <f t="shared" si="37"/>
        <v>100.00000000000001</v>
      </c>
      <c r="BV48" s="3" t="s">
        <v>267</v>
      </c>
      <c r="BW48" s="43">
        <f>(BW19/BW27)*100</f>
        <v>3.7279404086463157</v>
      </c>
      <c r="BX48" s="43">
        <f>(BX19/BX27)*100</f>
        <v>3.6747290605038394</v>
      </c>
      <c r="BY48" s="44">
        <f>(BY19/BY27)*100</f>
        <v>3.7017404364343145</v>
      </c>
      <c r="CA48" s="3" t="s">
        <v>267</v>
      </c>
      <c r="CB48" s="62">
        <f t="shared" si="38"/>
        <v>42.63822115384615</v>
      </c>
      <c r="CC48" s="62">
        <f t="shared" si="39"/>
        <v>45.16225961538461</v>
      </c>
      <c r="CD48" s="62">
        <f t="shared" si="40"/>
        <v>7.6923076923076925</v>
      </c>
      <c r="CE48" s="62">
        <f t="shared" si="41"/>
        <v>4.507211538461538</v>
      </c>
      <c r="CF48" s="63">
        <f t="shared" si="42"/>
        <v>100</v>
      </c>
    </row>
    <row r="49" spans="1:84" ht="15">
      <c r="A49" s="67" t="s">
        <v>134</v>
      </c>
      <c r="B49" s="155">
        <f aca="true" t="shared" si="99" ref="B49:K49">(B20/B27)*100</f>
        <v>14.556892175256595</v>
      </c>
      <c r="C49" s="155">
        <f t="shared" si="99"/>
        <v>21.040509416068286</v>
      </c>
      <c r="D49" s="155">
        <f t="shared" si="99"/>
        <v>20.261759496162174</v>
      </c>
      <c r="E49" s="155">
        <f t="shared" si="99"/>
        <v>7.432737323030064</v>
      </c>
      <c r="F49" s="155">
        <f t="shared" si="99"/>
        <v>6.697913304612621</v>
      </c>
      <c r="G49" s="155">
        <f t="shared" si="99"/>
        <v>13.09236750159933</v>
      </c>
      <c r="H49" s="155">
        <f t="shared" si="99"/>
        <v>11.399819175282047</v>
      </c>
      <c r="I49" s="155">
        <f t="shared" si="99"/>
        <v>8.98301393728223</v>
      </c>
      <c r="J49" s="156">
        <f t="shared" si="99"/>
        <v>12.499348992239987</v>
      </c>
      <c r="K49" s="165">
        <f t="shared" si="99"/>
        <v>10.66988061694816</v>
      </c>
      <c r="M49" s="67" t="s">
        <v>134</v>
      </c>
      <c r="N49" s="130">
        <f>(N20/N27)*100</f>
        <v>12.512454640506796</v>
      </c>
      <c r="O49" s="130">
        <f aca="true" t="shared" si="100" ref="O49:W49">(O20/O27)*100</f>
        <v>1.6705516705516703</v>
      </c>
      <c r="P49" s="130">
        <f t="shared" si="100"/>
        <v>1.46243842364532</v>
      </c>
      <c r="Q49" s="130">
        <f t="shared" si="100"/>
        <v>0.8039579468150896</v>
      </c>
      <c r="R49" s="130">
        <f t="shared" si="100"/>
        <v>23.2603249009941</v>
      </c>
      <c r="S49" s="130">
        <f t="shared" si="100"/>
        <v>1.201923076923077</v>
      </c>
      <c r="T49" s="130">
        <f t="shared" si="100"/>
        <v>10.600155884645362</v>
      </c>
      <c r="U49" s="130">
        <f t="shared" si="100"/>
        <v>3.9581822576746437</v>
      </c>
      <c r="V49" s="130">
        <f t="shared" si="100"/>
        <v>12.78766015673591</v>
      </c>
      <c r="W49" s="130">
        <f t="shared" si="100"/>
        <v>10.66988061694816</v>
      </c>
      <c r="Y49" s="67" t="s">
        <v>134</v>
      </c>
      <c r="Z49" s="130">
        <f>(Z20/Z27)*100</f>
        <v>8.687544727903155</v>
      </c>
      <c r="AA49" s="130">
        <f aca="true" t="shared" si="101" ref="AA49:AH49">(AA20/AA27)*100</f>
        <v>21.284466812922098</v>
      </c>
      <c r="AB49" s="130">
        <f t="shared" si="101"/>
        <v>12.679781782112745</v>
      </c>
      <c r="AC49" s="130">
        <f t="shared" si="101"/>
        <v>10.964234462965008</v>
      </c>
      <c r="AD49" s="130">
        <f t="shared" si="101"/>
        <v>14.305256986515536</v>
      </c>
      <c r="AE49" s="130">
        <f t="shared" si="101"/>
        <v>19.63470319634703</v>
      </c>
      <c r="AF49" s="130">
        <f t="shared" si="101"/>
        <v>24.36548223350254</v>
      </c>
      <c r="AG49" s="130">
        <f t="shared" si="101"/>
        <v>14.292687868991369</v>
      </c>
      <c r="AH49" s="132">
        <f t="shared" si="101"/>
        <v>10.66988061694816</v>
      </c>
      <c r="AJ49" s="67" t="s">
        <v>134</v>
      </c>
      <c r="AK49" s="76">
        <f t="shared" si="21"/>
        <v>92.08084015142263</v>
      </c>
      <c r="AL49" s="76">
        <f t="shared" si="22"/>
        <v>4.716693124923678</v>
      </c>
      <c r="AM49" s="76">
        <f t="shared" si="23"/>
        <v>1.4165343753816095</v>
      </c>
      <c r="AN49" s="76">
        <f t="shared" si="24"/>
        <v>1.7859323482720724</v>
      </c>
      <c r="AO49" s="179">
        <f t="shared" si="25"/>
        <v>7.91915984857736</v>
      </c>
      <c r="AP49" s="180">
        <f t="shared" si="26"/>
        <v>100</v>
      </c>
      <c r="AR49" s="3" t="s">
        <v>266</v>
      </c>
      <c r="AS49" s="43">
        <f>(AS19/AS28)*100</f>
        <v>1.9086506504605452</v>
      </c>
      <c r="AT49" s="43">
        <f aca="true" t="shared" si="102" ref="AT49:BG49">(AT19/AT28)*100</f>
        <v>0.2995616385406692</v>
      </c>
      <c r="AU49" s="43">
        <f t="shared" si="102"/>
        <v>0.37000973709834467</v>
      </c>
      <c r="AV49" s="43">
        <f t="shared" si="102"/>
        <v>0.14705882352941177</v>
      </c>
      <c r="AW49" s="43">
        <f t="shared" si="102"/>
        <v>0.5649717514124294</v>
      </c>
      <c r="AX49" s="43">
        <f t="shared" si="102"/>
        <v>0.3694581280788177</v>
      </c>
      <c r="AY49" s="43">
        <f t="shared" si="102"/>
        <v>0.12239902080783352</v>
      </c>
      <c r="AZ49" s="43">
        <f t="shared" si="102"/>
        <v>0.44923629829290207</v>
      </c>
      <c r="BA49" s="43">
        <f t="shared" si="102"/>
        <v>1.1049723756906076</v>
      </c>
      <c r="BB49" s="43">
        <f t="shared" si="102"/>
        <v>0.3137254901960784</v>
      </c>
      <c r="BC49" s="43">
        <f t="shared" si="102"/>
        <v>0.10312822275696115</v>
      </c>
      <c r="BD49" s="43">
        <f t="shared" si="102"/>
        <v>0</v>
      </c>
      <c r="BE49" s="43">
        <f t="shared" si="102"/>
        <v>2.2745710305980316</v>
      </c>
      <c r="BF49" s="43">
        <f t="shared" si="102"/>
        <v>2.2420926197784596</v>
      </c>
      <c r="BG49" s="44">
        <f t="shared" si="102"/>
        <v>1.210117428622616</v>
      </c>
      <c r="BI49" s="67" t="s">
        <v>134</v>
      </c>
      <c r="BJ49" s="121">
        <f t="shared" si="27"/>
        <v>16.786665351612584</v>
      </c>
      <c r="BK49" s="121">
        <f t="shared" si="28"/>
        <v>12.358220731827597</v>
      </c>
      <c r="BL49" s="121">
        <f t="shared" si="29"/>
        <v>16.19489101489299</v>
      </c>
      <c r="BM49" s="121">
        <f t="shared" si="30"/>
        <v>10.099615346681132</v>
      </c>
      <c r="BN49" s="121">
        <f t="shared" si="31"/>
        <v>10.69138968340073</v>
      </c>
      <c r="BO49" s="121">
        <f t="shared" si="32"/>
        <v>16.214616826116973</v>
      </c>
      <c r="BP49" s="121">
        <f t="shared" si="33"/>
        <v>4.921589900384653</v>
      </c>
      <c r="BQ49" s="121">
        <f t="shared" si="34"/>
        <v>4.536936581516915</v>
      </c>
      <c r="BR49" s="116">
        <f t="shared" si="35"/>
        <v>4.536936581516915</v>
      </c>
      <c r="BS49" s="155">
        <f t="shared" si="36"/>
        <v>3.659137982049512</v>
      </c>
      <c r="BT49" s="165">
        <f t="shared" si="37"/>
        <v>100</v>
      </c>
      <c r="BV49" s="67" t="s">
        <v>134</v>
      </c>
      <c r="BW49" s="130">
        <f>(BW20/BW27)*100</f>
        <v>17.04549410003829</v>
      </c>
      <c r="BX49" s="130">
        <f>(BX20/BX27)*100</f>
        <v>17.049450943802483</v>
      </c>
      <c r="BY49" s="132">
        <f>(BY20/BY27)*100</f>
        <v>17.0474423535648</v>
      </c>
      <c r="CA49" s="67" t="s">
        <v>134</v>
      </c>
      <c r="CB49" s="76">
        <f t="shared" si="38"/>
        <v>51.957104557640754</v>
      </c>
      <c r="CC49" s="76">
        <f t="shared" si="39"/>
        <v>38.598238222903106</v>
      </c>
      <c r="CD49" s="76">
        <f t="shared" si="40"/>
        <v>6.288778245882804</v>
      </c>
      <c r="CE49" s="76">
        <f t="shared" si="41"/>
        <v>3.1558789735733437</v>
      </c>
      <c r="CF49" s="79">
        <f t="shared" si="42"/>
        <v>100.00000000000001</v>
      </c>
    </row>
    <row r="50" spans="1:84" ht="15">
      <c r="A50" s="3" t="s">
        <v>268</v>
      </c>
      <c r="B50" s="153">
        <f aca="true" t="shared" si="103" ref="B50:K50">(B21/B27)*100</f>
        <v>7.598499061913697</v>
      </c>
      <c r="C50" s="153">
        <f t="shared" si="103"/>
        <v>10.181547215824414</v>
      </c>
      <c r="D50" s="153">
        <f t="shared" si="103"/>
        <v>9.801220232237748</v>
      </c>
      <c r="E50" s="153">
        <f t="shared" si="103"/>
        <v>3.655028484404084</v>
      </c>
      <c r="F50" s="153">
        <f t="shared" si="103"/>
        <v>3.379127432957719</v>
      </c>
      <c r="G50" s="153">
        <f t="shared" si="103"/>
        <v>5.395895871266178</v>
      </c>
      <c r="H50" s="153">
        <f t="shared" si="103"/>
        <v>4.4537914226188136</v>
      </c>
      <c r="I50" s="153">
        <f t="shared" si="103"/>
        <v>3.7293118466898956</v>
      </c>
      <c r="J50" s="154">
        <f t="shared" si="103"/>
        <v>2.885266392375397</v>
      </c>
      <c r="K50" s="120">
        <f t="shared" si="103"/>
        <v>4.826788709913842</v>
      </c>
      <c r="M50" s="3" t="s">
        <v>268</v>
      </c>
      <c r="N50" s="43">
        <f>(N21/N27)*100</f>
        <v>5.419767513377207</v>
      </c>
      <c r="O50" s="43">
        <f aca="true" t="shared" si="104" ref="O50:W50">(O21/O27)*100</f>
        <v>0.4273504273504274</v>
      </c>
      <c r="P50" s="43">
        <f t="shared" si="104"/>
        <v>0.2309113300492611</v>
      </c>
      <c r="Q50" s="43">
        <f t="shared" si="104"/>
        <v>0.24737167594310452</v>
      </c>
      <c r="R50" s="43">
        <f t="shared" si="104"/>
        <v>17.27551927584256</v>
      </c>
      <c r="S50" s="43">
        <f t="shared" si="104"/>
        <v>0.2403846153846154</v>
      </c>
      <c r="T50" s="43">
        <f t="shared" si="104"/>
        <v>1.8706157443491818</v>
      </c>
      <c r="U50" s="43">
        <f t="shared" si="104"/>
        <v>0.820642978003384</v>
      </c>
      <c r="V50" s="43">
        <f t="shared" si="104"/>
        <v>4.129866898868018</v>
      </c>
      <c r="W50" s="43">
        <f t="shared" si="104"/>
        <v>4.826788709913842</v>
      </c>
      <c r="Y50" s="3" t="s">
        <v>268</v>
      </c>
      <c r="Z50" s="43">
        <f>(Z21/Z27)*100</f>
        <v>2.962373123947949</v>
      </c>
      <c r="AA50" s="43">
        <f aca="true" t="shared" si="105" ref="AA50:AH50">(AA21/AA27)*100</f>
        <v>11.674624682754764</v>
      </c>
      <c r="AB50" s="43">
        <f t="shared" si="105"/>
        <v>6.846861740232546</v>
      </c>
      <c r="AC50" s="43">
        <f t="shared" si="105"/>
        <v>6.791588475549178</v>
      </c>
      <c r="AD50" s="43">
        <f t="shared" si="105"/>
        <v>9.243697478991598</v>
      </c>
      <c r="AE50" s="43">
        <f t="shared" si="105"/>
        <v>13.08980213089802</v>
      </c>
      <c r="AF50" s="43">
        <f t="shared" si="105"/>
        <v>12.859560067681894</v>
      </c>
      <c r="AG50" s="43">
        <f t="shared" si="105"/>
        <v>8.234091348677849</v>
      </c>
      <c r="AH50" s="44">
        <f t="shared" si="105"/>
        <v>4.826788709913842</v>
      </c>
      <c r="AJ50" s="3" t="s">
        <v>268</v>
      </c>
      <c r="AK50" s="62">
        <f t="shared" si="21"/>
        <v>93.33243352679173</v>
      </c>
      <c r="AL50" s="62">
        <f t="shared" si="22"/>
        <v>3.7049534350114723</v>
      </c>
      <c r="AM50" s="62">
        <f t="shared" si="23"/>
        <v>1.3902011067620461</v>
      </c>
      <c r="AN50" s="62">
        <f t="shared" si="24"/>
        <v>1.5724119314347413</v>
      </c>
      <c r="AO50" s="139">
        <f t="shared" si="25"/>
        <v>6.66756647320826</v>
      </c>
      <c r="AP50" s="181">
        <f t="shared" si="26"/>
        <v>100</v>
      </c>
      <c r="AR50" s="3" t="s">
        <v>267</v>
      </c>
      <c r="AS50" s="43">
        <f>(AS20/AS28)*100</f>
        <v>5.054125913968284</v>
      </c>
      <c r="AT50" s="43">
        <f aca="true" t="shared" si="106" ref="AT50:BG50">(AT20/AT28)*100</f>
        <v>0.7036623826131263</v>
      </c>
      <c r="AU50" s="43">
        <f t="shared" si="106"/>
        <v>0.8519961051606622</v>
      </c>
      <c r="AV50" s="43">
        <f t="shared" si="106"/>
        <v>0.14705882352941177</v>
      </c>
      <c r="AW50" s="43">
        <f t="shared" si="106"/>
        <v>0</v>
      </c>
      <c r="AX50" s="43">
        <f t="shared" si="106"/>
        <v>0.1539408866995074</v>
      </c>
      <c r="AY50" s="43">
        <f t="shared" si="106"/>
        <v>0</v>
      </c>
      <c r="AZ50" s="43">
        <f t="shared" si="106"/>
        <v>0.2695417789757413</v>
      </c>
      <c r="BA50" s="43">
        <f t="shared" si="106"/>
        <v>0</v>
      </c>
      <c r="BB50" s="43">
        <f t="shared" si="106"/>
        <v>1.3333333333333335</v>
      </c>
      <c r="BC50" s="43">
        <f t="shared" si="106"/>
        <v>0.18906840838776212</v>
      </c>
      <c r="BD50" s="43">
        <f t="shared" si="106"/>
        <v>0.5692599620493358</v>
      </c>
      <c r="BE50" s="43">
        <f t="shared" si="106"/>
        <v>6.2726730036276805</v>
      </c>
      <c r="BF50" s="43">
        <f t="shared" si="106"/>
        <v>5.2849326037635125</v>
      </c>
      <c r="BG50" s="44">
        <f t="shared" si="106"/>
        <v>3.182462255085588</v>
      </c>
      <c r="BI50" s="3" t="s">
        <v>268</v>
      </c>
      <c r="BJ50" s="191">
        <f t="shared" si="27"/>
        <v>17.796005706134093</v>
      </c>
      <c r="BK50" s="191">
        <f t="shared" si="28"/>
        <v>13.427246790299572</v>
      </c>
      <c r="BL50" s="191">
        <f t="shared" si="29"/>
        <v>16.672610556348076</v>
      </c>
      <c r="BM50" s="191">
        <f t="shared" si="30"/>
        <v>10.235378031383737</v>
      </c>
      <c r="BN50" s="191">
        <f t="shared" si="31"/>
        <v>10.217546362339515</v>
      </c>
      <c r="BO50" s="191">
        <f t="shared" si="32"/>
        <v>14.853780313837376</v>
      </c>
      <c r="BP50" s="191">
        <f t="shared" si="33"/>
        <v>4.725392296718973</v>
      </c>
      <c r="BQ50" s="191">
        <f t="shared" si="34"/>
        <v>4.172610556348074</v>
      </c>
      <c r="BR50" s="192">
        <f t="shared" si="35"/>
        <v>4.368758915834522</v>
      </c>
      <c r="BS50" s="193">
        <f t="shared" si="36"/>
        <v>3.5306704707560628</v>
      </c>
      <c r="BT50" s="194">
        <f t="shared" si="37"/>
        <v>100.00000000000001</v>
      </c>
      <c r="BV50" s="3" t="s">
        <v>268</v>
      </c>
      <c r="BW50" s="43">
        <f>(BW21/BW27)*100</f>
        <v>8.566257092136865</v>
      </c>
      <c r="BX50" s="43">
        <f>(BX21/BX27)*100</f>
        <v>8.583937414770688</v>
      </c>
      <c r="BY50" s="44">
        <f>(BY21/BY27)*100</f>
        <v>8.574962452513473</v>
      </c>
      <c r="CA50" s="3" t="s">
        <v>268</v>
      </c>
      <c r="CB50" s="62">
        <f t="shared" si="38"/>
        <v>41.92727272727273</v>
      </c>
      <c r="CC50" s="62">
        <f t="shared" si="39"/>
        <v>43.6</v>
      </c>
      <c r="CD50" s="62">
        <f t="shared" si="40"/>
        <v>9.4</v>
      </c>
      <c r="CE50" s="62">
        <f t="shared" si="41"/>
        <v>5.072727272727272</v>
      </c>
      <c r="CF50" s="63">
        <f t="shared" si="42"/>
        <v>100.00000000000001</v>
      </c>
    </row>
    <row r="51" spans="1:84" ht="15">
      <c r="A51" s="3" t="s">
        <v>269</v>
      </c>
      <c r="B51" s="153">
        <f aca="true" t="shared" si="107" ref="B51:K51">(B22/B27)*100</f>
        <v>3.3633153073612183</v>
      </c>
      <c r="C51" s="153">
        <f t="shared" si="107"/>
        <v>5.697060018967619</v>
      </c>
      <c r="D51" s="153">
        <f t="shared" si="107"/>
        <v>6.750639637866563</v>
      </c>
      <c r="E51" s="153">
        <f t="shared" si="107"/>
        <v>2.425404704157031</v>
      </c>
      <c r="F51" s="153">
        <f t="shared" si="107"/>
        <v>2.2087818021077448</v>
      </c>
      <c r="G51" s="153">
        <f t="shared" si="107"/>
        <v>5.622262683923035</v>
      </c>
      <c r="H51" s="153">
        <f t="shared" si="107"/>
        <v>5.637014033570502</v>
      </c>
      <c r="I51" s="153">
        <f t="shared" si="107"/>
        <v>4.68205574912892</v>
      </c>
      <c r="J51" s="154">
        <f t="shared" si="107"/>
        <v>8.73912817040779</v>
      </c>
      <c r="K51" s="120">
        <f t="shared" si="107"/>
        <v>4.005602697112331</v>
      </c>
      <c r="M51" s="3" t="s">
        <v>269</v>
      </c>
      <c r="N51" s="43">
        <f>(N22/N27)*100</f>
        <v>5.321360477274125</v>
      </c>
      <c r="O51" s="43">
        <f aca="true" t="shared" si="108" ref="O51:W51">(O22/O27)*100</f>
        <v>0.8547008547008548</v>
      </c>
      <c r="P51" s="43">
        <f t="shared" si="108"/>
        <v>0.5541871921182266</v>
      </c>
      <c r="Q51" s="43">
        <f t="shared" si="108"/>
        <v>0.24737167594310452</v>
      </c>
      <c r="R51" s="43">
        <f t="shared" si="108"/>
        <v>0.6546512567687707</v>
      </c>
      <c r="S51" s="43">
        <f t="shared" si="108"/>
        <v>0.3605769230769231</v>
      </c>
      <c r="T51" s="43">
        <f t="shared" si="108"/>
        <v>6.625097427903351</v>
      </c>
      <c r="U51" s="43">
        <f t="shared" si="108"/>
        <v>2.223833695914914</v>
      </c>
      <c r="V51" s="43">
        <f t="shared" si="108"/>
        <v>6.1906538955923205</v>
      </c>
      <c r="W51" s="43">
        <f t="shared" si="108"/>
        <v>4.005602697112331</v>
      </c>
      <c r="Y51" s="3" t="s">
        <v>269</v>
      </c>
      <c r="Z51" s="43">
        <f>(Z22/Z27)*100</f>
        <v>3.709770085978369</v>
      </c>
      <c r="AA51" s="43">
        <f aca="true" t="shared" si="109" ref="AA51:AH51">(AA22/AA27)*100</f>
        <v>6.9815460059362495</v>
      </c>
      <c r="AB51" s="43">
        <f t="shared" si="109"/>
        <v>4.725298947484433</v>
      </c>
      <c r="AC51" s="43">
        <f t="shared" si="109"/>
        <v>3.0632520145711446</v>
      </c>
      <c r="AD51" s="43">
        <f t="shared" si="109"/>
        <v>3.468829392222005</v>
      </c>
      <c r="AE51" s="43">
        <f t="shared" si="109"/>
        <v>4.211060375443937</v>
      </c>
      <c r="AF51" s="43">
        <f t="shared" si="109"/>
        <v>8.460236886632826</v>
      </c>
      <c r="AG51" s="43">
        <f t="shared" si="109"/>
        <v>4.546249988487009</v>
      </c>
      <c r="AH51" s="44">
        <f t="shared" si="109"/>
        <v>4.005602697112331</v>
      </c>
      <c r="AJ51" s="3" t="s">
        <v>269</v>
      </c>
      <c r="AK51" s="62">
        <f t="shared" si="21"/>
        <v>90.20899406359275</v>
      </c>
      <c r="AL51" s="62">
        <f t="shared" si="22"/>
        <v>6.115312677888916</v>
      </c>
      <c r="AM51" s="62">
        <f t="shared" si="23"/>
        <v>1.6020167520533461</v>
      </c>
      <c r="AN51" s="62">
        <f t="shared" si="24"/>
        <v>2.0736765064649916</v>
      </c>
      <c r="AO51" s="139">
        <f t="shared" si="25"/>
        <v>9.791005936407254</v>
      </c>
      <c r="AP51" s="181">
        <f t="shared" si="26"/>
        <v>100.00000000000001</v>
      </c>
      <c r="AR51" s="67" t="s">
        <v>134</v>
      </c>
      <c r="AS51" s="130">
        <f>(AS21/AS28)*100</f>
        <v>20.825420188016334</v>
      </c>
      <c r="AT51" s="130">
        <f aca="true" t="shared" si="110" ref="AT51:BG51">(AT21/AT28)*100</f>
        <v>5.728567287166288</v>
      </c>
      <c r="AU51" s="130">
        <f t="shared" si="110"/>
        <v>6.197663096397274</v>
      </c>
      <c r="AV51" s="130">
        <f t="shared" si="110"/>
        <v>0.8333333333333334</v>
      </c>
      <c r="AW51" s="130">
        <f t="shared" si="110"/>
        <v>0.5649717514124294</v>
      </c>
      <c r="AX51" s="130">
        <f t="shared" si="110"/>
        <v>0.6773399014778325</v>
      </c>
      <c r="AY51" s="130">
        <f t="shared" si="110"/>
        <v>0</v>
      </c>
      <c r="AZ51" s="130">
        <f t="shared" si="110"/>
        <v>0.44923629829290207</v>
      </c>
      <c r="BA51" s="130">
        <f t="shared" si="110"/>
        <v>0</v>
      </c>
      <c r="BB51" s="130">
        <f t="shared" si="110"/>
        <v>2.823529411764706</v>
      </c>
      <c r="BC51" s="130">
        <f t="shared" si="110"/>
        <v>0.9109659676864902</v>
      </c>
      <c r="BD51" s="130">
        <f t="shared" si="110"/>
        <v>2.2770398481973433</v>
      </c>
      <c r="BE51" s="130">
        <f t="shared" si="110"/>
        <v>9.983009597281535</v>
      </c>
      <c r="BF51" s="130">
        <f t="shared" si="110"/>
        <v>9.96930468437208</v>
      </c>
      <c r="BG51" s="132">
        <f t="shared" si="110"/>
        <v>10.66988061694816</v>
      </c>
      <c r="BI51" s="3" t="s">
        <v>269</v>
      </c>
      <c r="BJ51" s="191">
        <f t="shared" si="27"/>
        <v>14.262922782386726</v>
      </c>
      <c r="BK51" s="191">
        <f t="shared" si="28"/>
        <v>11.072112316528399</v>
      </c>
      <c r="BL51" s="191">
        <f t="shared" si="29"/>
        <v>15.379706445437142</v>
      </c>
      <c r="BM51" s="191">
        <f t="shared" si="30"/>
        <v>10.21059349074665</v>
      </c>
      <c r="BN51" s="191">
        <f t="shared" si="31"/>
        <v>10.944479897894064</v>
      </c>
      <c r="BO51" s="191">
        <f t="shared" si="32"/>
        <v>17.868538608806634</v>
      </c>
      <c r="BP51" s="191">
        <f t="shared" si="33"/>
        <v>5.488194001276324</v>
      </c>
      <c r="BQ51" s="191">
        <f t="shared" si="34"/>
        <v>5.328653477983408</v>
      </c>
      <c r="BR51" s="192">
        <f t="shared" si="35"/>
        <v>5.328653477983408</v>
      </c>
      <c r="BS51" s="193">
        <f t="shared" si="36"/>
        <v>4.116145500957243</v>
      </c>
      <c r="BT51" s="194">
        <f t="shared" si="37"/>
        <v>100</v>
      </c>
      <c r="BV51" s="3" t="s">
        <v>269</v>
      </c>
      <c r="BW51" s="43">
        <f>(BW22/BW27)*100</f>
        <v>4.295311357861395</v>
      </c>
      <c r="BX51" s="43">
        <f>(BX22/BX27)*100</f>
        <v>4.406803990526089</v>
      </c>
      <c r="BY51" s="44">
        <f>(BY22/BY27)*100</f>
        <v>4.350207615513738</v>
      </c>
      <c r="CA51" s="3" t="s">
        <v>269</v>
      </c>
      <c r="CB51" s="62">
        <f t="shared" si="38"/>
        <v>62.121721587088096</v>
      </c>
      <c r="CC51" s="62">
        <f t="shared" si="39"/>
        <v>33.62474781439139</v>
      </c>
      <c r="CD51" s="62">
        <f t="shared" si="40"/>
        <v>3.1102891728312034</v>
      </c>
      <c r="CE51" s="62">
        <f t="shared" si="41"/>
        <v>1.1432414256893073</v>
      </c>
      <c r="CF51" s="63">
        <f t="shared" si="42"/>
        <v>100</v>
      </c>
    </row>
    <row r="52" spans="1:84" ht="15">
      <c r="A52" s="3" t="s">
        <v>270</v>
      </c>
      <c r="B52" s="153">
        <f aca="true" t="shared" si="111" ref="B52:K52">(B23/B27)*100</f>
        <v>3.59507780598168</v>
      </c>
      <c r="C52" s="153">
        <f t="shared" si="111"/>
        <v>5.16190218127625</v>
      </c>
      <c r="D52" s="153">
        <f t="shared" si="111"/>
        <v>3.7098996260578625</v>
      </c>
      <c r="E52" s="153">
        <f t="shared" si="111"/>
        <v>1.3523041344689493</v>
      </c>
      <c r="F52" s="153">
        <f t="shared" si="111"/>
        <v>1.1100040695471576</v>
      </c>
      <c r="G52" s="153">
        <f t="shared" si="111"/>
        <v>2.0742089464101174</v>
      </c>
      <c r="H52" s="153">
        <f t="shared" si="111"/>
        <v>1.3090137190927316</v>
      </c>
      <c r="I52" s="153">
        <f t="shared" si="111"/>
        <v>0.5716463414634146</v>
      </c>
      <c r="J52" s="154">
        <f t="shared" si="111"/>
        <v>0.8749544294567991</v>
      </c>
      <c r="K52" s="120">
        <f t="shared" si="111"/>
        <v>1.8374892099219857</v>
      </c>
      <c r="M52" s="3" t="s">
        <v>270</v>
      </c>
      <c r="N52" s="43">
        <f>(N23/N27)*100</f>
        <v>1.7713266498554647</v>
      </c>
      <c r="O52" s="43">
        <f aca="true" t="shared" si="112" ref="O52:W52">(O23/O27)*100</f>
        <v>0.3885003885003885</v>
      </c>
      <c r="P52" s="43">
        <f t="shared" si="112"/>
        <v>0.6773399014778325</v>
      </c>
      <c r="Q52" s="43">
        <f t="shared" si="112"/>
        <v>0.30921459492888065</v>
      </c>
      <c r="R52" s="43">
        <f t="shared" si="112"/>
        <v>5.330154368382769</v>
      </c>
      <c r="S52" s="43">
        <f t="shared" si="112"/>
        <v>0.6009615384615385</v>
      </c>
      <c r="T52" s="43">
        <f t="shared" si="112"/>
        <v>2.1044427123928293</v>
      </c>
      <c r="U52" s="43">
        <f t="shared" si="112"/>
        <v>0.9137055837563453</v>
      </c>
      <c r="V52" s="43">
        <f t="shared" si="112"/>
        <v>2.467139362275573</v>
      </c>
      <c r="W52" s="43">
        <f t="shared" si="112"/>
        <v>1.8374892099219857</v>
      </c>
      <c r="Y52" s="3" t="s">
        <v>270</v>
      </c>
      <c r="Z52" s="43">
        <f>(Z23/Z27)*100</f>
        <v>2.015401517976837</v>
      </c>
      <c r="AA52" s="43">
        <f aca="true" t="shared" si="113" ref="AA52:AH52">(AA23/AA27)*100</f>
        <v>2.6282961242310834</v>
      </c>
      <c r="AB52" s="43">
        <f t="shared" si="113"/>
        <v>1.1076210943957678</v>
      </c>
      <c r="AC52" s="43">
        <f t="shared" si="113"/>
        <v>1.1093939728446849</v>
      </c>
      <c r="AD52" s="43">
        <f t="shared" si="113"/>
        <v>1.5927301153019349</v>
      </c>
      <c r="AE52" s="43">
        <f t="shared" si="113"/>
        <v>2.3338406900050734</v>
      </c>
      <c r="AF52" s="43">
        <f t="shared" si="113"/>
        <v>3.0456852791878175</v>
      </c>
      <c r="AG52" s="43">
        <f t="shared" si="113"/>
        <v>1.512346531826513</v>
      </c>
      <c r="AH52" s="44">
        <f t="shared" si="113"/>
        <v>1.8374892099219857</v>
      </c>
      <c r="AJ52" s="3" t="s">
        <v>270</v>
      </c>
      <c r="AK52" s="62">
        <f t="shared" si="21"/>
        <v>92.87360397092715</v>
      </c>
      <c r="AL52" s="62">
        <f t="shared" si="22"/>
        <v>4.32547420670094</v>
      </c>
      <c r="AM52" s="62">
        <f t="shared" si="23"/>
        <v>1.081368551675235</v>
      </c>
      <c r="AN52" s="62">
        <f t="shared" si="24"/>
        <v>1.719553270696685</v>
      </c>
      <c r="AO52" s="139">
        <f t="shared" si="25"/>
        <v>7.126396029072859</v>
      </c>
      <c r="AP52" s="181">
        <f t="shared" si="26"/>
        <v>100.00000000000001</v>
      </c>
      <c r="AR52" s="3" t="s">
        <v>268</v>
      </c>
      <c r="AS52" s="43">
        <f>(AS22/AS28)*100</f>
        <v>9.314167695375557</v>
      </c>
      <c r="AT52" s="43">
        <f aca="true" t="shared" si="114" ref="AT52:BG52">(AT22/AT28)*100</f>
        <v>1.6225523354387565</v>
      </c>
      <c r="AU52" s="43">
        <f t="shared" si="114"/>
        <v>1.9717624148003894</v>
      </c>
      <c r="AV52" s="43">
        <f t="shared" si="114"/>
        <v>0.09803921568627451</v>
      </c>
      <c r="AW52" s="43">
        <f t="shared" si="114"/>
        <v>0.3766478342749529</v>
      </c>
      <c r="AX52" s="43">
        <f t="shared" si="114"/>
        <v>0.2770935960591133</v>
      </c>
      <c r="AY52" s="43">
        <f t="shared" si="114"/>
        <v>0</v>
      </c>
      <c r="AZ52" s="43">
        <f t="shared" si="114"/>
        <v>0.3593890386343217</v>
      </c>
      <c r="BA52" s="43">
        <f t="shared" si="114"/>
        <v>0</v>
      </c>
      <c r="BB52" s="43">
        <f t="shared" si="114"/>
        <v>1.019607843137255</v>
      </c>
      <c r="BC52" s="43">
        <f t="shared" si="114"/>
        <v>0.4125128910278446</v>
      </c>
      <c r="BD52" s="43">
        <f t="shared" si="114"/>
        <v>0</v>
      </c>
      <c r="BE52" s="43">
        <f t="shared" si="114"/>
        <v>6.450230365370192</v>
      </c>
      <c r="BF52" s="43">
        <f t="shared" si="114"/>
        <v>6.01895102095289</v>
      </c>
      <c r="BG52" s="44">
        <f t="shared" si="114"/>
        <v>4.826788709913842</v>
      </c>
      <c r="BI52" s="3" t="s">
        <v>270</v>
      </c>
      <c r="BJ52" s="191">
        <f t="shared" si="27"/>
        <v>18.396564065855404</v>
      </c>
      <c r="BK52" s="191">
        <f t="shared" si="28"/>
        <v>10.952040085898354</v>
      </c>
      <c r="BL52" s="191">
        <f t="shared" si="29"/>
        <v>16.105941302791695</v>
      </c>
      <c r="BM52" s="191">
        <f t="shared" si="30"/>
        <v>9.305654974946313</v>
      </c>
      <c r="BN52" s="191">
        <f t="shared" si="31"/>
        <v>12.025769506084465</v>
      </c>
      <c r="BO52" s="191">
        <f t="shared" si="32"/>
        <v>17.96707229778096</v>
      </c>
      <c r="BP52" s="191">
        <f t="shared" si="33"/>
        <v>4.438081603435934</v>
      </c>
      <c r="BQ52" s="191">
        <f t="shared" si="34"/>
        <v>4.223335719398712</v>
      </c>
      <c r="BR52" s="192">
        <f t="shared" si="35"/>
        <v>3.4359341445955622</v>
      </c>
      <c r="BS52" s="193">
        <f t="shared" si="36"/>
        <v>3.149606299212598</v>
      </c>
      <c r="BT52" s="194">
        <f t="shared" si="37"/>
        <v>100</v>
      </c>
      <c r="BV52" s="3" t="s">
        <v>270</v>
      </c>
      <c r="BW52" s="43">
        <f>(BW23/BW27)*100</f>
        <v>4.183925650040029</v>
      </c>
      <c r="BX52" s="43">
        <f>(BX23/BX27)*100</f>
        <v>4.058709538505706</v>
      </c>
      <c r="BY52" s="44">
        <f>(BY23/BY27)*100</f>
        <v>4.1222722855375915</v>
      </c>
      <c r="CA52" s="3" t="s">
        <v>270</v>
      </c>
      <c r="CB52" s="62">
        <f t="shared" si="38"/>
        <v>48.66210329807094</v>
      </c>
      <c r="CC52" s="62">
        <f t="shared" si="39"/>
        <v>39.88799004355943</v>
      </c>
      <c r="CD52" s="62">
        <f t="shared" si="40"/>
        <v>7.405102675793404</v>
      </c>
      <c r="CE52" s="62">
        <f t="shared" si="41"/>
        <v>4.044803982576229</v>
      </c>
      <c r="CF52" s="63">
        <f t="shared" si="42"/>
        <v>100</v>
      </c>
    </row>
    <row r="53" spans="1:84" ht="15">
      <c r="A53" s="67" t="s">
        <v>135</v>
      </c>
      <c r="B53" s="155">
        <f aca="true" t="shared" si="115" ref="B53:K53">(B24/B27)*100</f>
        <v>2.2348526652687344</v>
      </c>
      <c r="C53" s="155">
        <f t="shared" si="115"/>
        <v>2.479338842975207</v>
      </c>
      <c r="D53" s="155">
        <f t="shared" si="115"/>
        <v>2.6766384569966544</v>
      </c>
      <c r="E53" s="155">
        <f t="shared" si="115"/>
        <v>2.3619493485250156</v>
      </c>
      <c r="F53" s="155">
        <f t="shared" si="115"/>
        <v>2.029160410322617</v>
      </c>
      <c r="G53" s="155">
        <f t="shared" si="115"/>
        <v>2.266128635401801</v>
      </c>
      <c r="H53" s="155">
        <f t="shared" si="115"/>
        <v>1.8043162073980896</v>
      </c>
      <c r="I53" s="155">
        <f t="shared" si="115"/>
        <v>1.4917247386759582</v>
      </c>
      <c r="J53" s="156">
        <f t="shared" si="115"/>
        <v>1.1509817197020988</v>
      </c>
      <c r="K53" s="165">
        <f t="shared" si="115"/>
        <v>2.099056987898826</v>
      </c>
      <c r="M53" s="67" t="s">
        <v>135</v>
      </c>
      <c r="N53" s="130">
        <f>(N24/N27)*100</f>
        <v>1.253459622362999</v>
      </c>
      <c r="O53" s="130">
        <f aca="true" t="shared" si="116" ref="O53:W53">(O24/O27)*100</f>
        <v>2.4475524475524475</v>
      </c>
      <c r="P53" s="130">
        <f t="shared" si="116"/>
        <v>1.5548029556650247</v>
      </c>
      <c r="Q53" s="130">
        <f t="shared" si="116"/>
        <v>5.504019789734076</v>
      </c>
      <c r="R53" s="130">
        <f t="shared" si="116"/>
        <v>10.434009536894852</v>
      </c>
      <c r="S53" s="130">
        <f t="shared" si="116"/>
        <v>8.774038461538462</v>
      </c>
      <c r="T53" s="130">
        <f t="shared" si="116"/>
        <v>4.910366328916601</v>
      </c>
      <c r="U53" s="130">
        <f t="shared" si="116"/>
        <v>1.1638868745467732</v>
      </c>
      <c r="V53" s="130">
        <f t="shared" si="116"/>
        <v>1.9571256789816311</v>
      </c>
      <c r="W53" s="130">
        <f t="shared" si="116"/>
        <v>2.099056987898826</v>
      </c>
      <c r="Y53" s="67" t="s">
        <v>135</v>
      </c>
      <c r="Z53" s="130">
        <f>(Z24/Z27)*100</f>
        <v>0.8764149136688472</v>
      </c>
      <c r="AA53" s="130">
        <f aca="true" t="shared" si="117" ref="AA53:AH53">(AA24/AA27)*100</f>
        <v>4.417774336473523</v>
      </c>
      <c r="AB53" s="130">
        <f t="shared" si="117"/>
        <v>4.088830109659999</v>
      </c>
      <c r="AC53" s="130">
        <f t="shared" si="117"/>
        <v>4.365824042388785</v>
      </c>
      <c r="AD53" s="130">
        <f t="shared" si="117"/>
        <v>4.53390658589017</v>
      </c>
      <c r="AE53" s="130">
        <f t="shared" si="117"/>
        <v>5.377980720446473</v>
      </c>
      <c r="AF53" s="130">
        <f t="shared" si="117"/>
        <v>7.1065989847715745</v>
      </c>
      <c r="AG53" s="130">
        <f t="shared" si="117"/>
        <v>4.33348991001446</v>
      </c>
      <c r="AH53" s="132">
        <f t="shared" si="117"/>
        <v>2.099056987898826</v>
      </c>
      <c r="AJ53" s="67" t="s">
        <v>135</v>
      </c>
      <c r="AK53" s="76">
        <f t="shared" si="21"/>
        <v>94.30477963997517</v>
      </c>
      <c r="AL53" s="76">
        <f t="shared" si="22"/>
        <v>3.3209186840471756</v>
      </c>
      <c r="AM53" s="76">
        <f t="shared" si="23"/>
        <v>1.0086902545003102</v>
      </c>
      <c r="AN53" s="76">
        <f t="shared" si="24"/>
        <v>1.3656114214773432</v>
      </c>
      <c r="AO53" s="179">
        <f t="shared" si="25"/>
        <v>5.6952203600248295</v>
      </c>
      <c r="AP53" s="180">
        <f t="shared" si="26"/>
        <v>99.99999999999999</v>
      </c>
      <c r="AR53" s="3" t="s">
        <v>269</v>
      </c>
      <c r="AS53" s="43">
        <f>(AS23/AS28)*100</f>
        <v>8.363403285537936</v>
      </c>
      <c r="AT53" s="43">
        <f aca="true" t="shared" si="118" ref="AT53:BG53">(AT23/AT28)*100</f>
        <v>2.747885059692708</v>
      </c>
      <c r="AU53" s="43">
        <f t="shared" si="118"/>
        <v>2.745861733203505</v>
      </c>
      <c r="AV53" s="43">
        <f t="shared" si="118"/>
        <v>0.39215686274509803</v>
      </c>
      <c r="AW53" s="43">
        <f t="shared" si="118"/>
        <v>0</v>
      </c>
      <c r="AX53" s="43">
        <f t="shared" si="118"/>
        <v>0.1539408866995074</v>
      </c>
      <c r="AY53" s="43">
        <f t="shared" si="118"/>
        <v>0</v>
      </c>
      <c r="AZ53" s="43">
        <f t="shared" si="118"/>
        <v>0.08984725965858043</v>
      </c>
      <c r="BA53" s="43">
        <f t="shared" si="118"/>
        <v>0</v>
      </c>
      <c r="BB53" s="43">
        <f t="shared" si="118"/>
        <v>0.5490196078431373</v>
      </c>
      <c r="BC53" s="43">
        <f t="shared" si="118"/>
        <v>0.2921966311447233</v>
      </c>
      <c r="BD53" s="43">
        <f t="shared" si="118"/>
        <v>2.0872865275142316</v>
      </c>
      <c r="BE53" s="43">
        <f t="shared" si="118"/>
        <v>2.0556856622430395</v>
      </c>
      <c r="BF53" s="43">
        <f t="shared" si="118"/>
        <v>2.2287468303750164</v>
      </c>
      <c r="BG53" s="44">
        <f t="shared" si="118"/>
        <v>4.005602697112331</v>
      </c>
      <c r="BI53" s="67" t="s">
        <v>135</v>
      </c>
      <c r="BJ53" s="121">
        <f t="shared" si="27"/>
        <v>21.36181575433912</v>
      </c>
      <c r="BK53" s="121">
        <f t="shared" si="28"/>
        <v>14.085447263017356</v>
      </c>
      <c r="BL53" s="121">
        <f t="shared" si="29"/>
        <v>17.289719626168225</v>
      </c>
      <c r="BM53" s="121">
        <f t="shared" si="30"/>
        <v>10.14686248331108</v>
      </c>
      <c r="BN53" s="121">
        <f t="shared" si="31"/>
        <v>9.279038718291055</v>
      </c>
      <c r="BO53" s="121">
        <f t="shared" si="32"/>
        <v>14.419225634178906</v>
      </c>
      <c r="BP53" s="121">
        <f t="shared" si="33"/>
        <v>4.339118825100133</v>
      </c>
      <c r="BQ53" s="121">
        <f t="shared" si="34"/>
        <v>3.538050734312417</v>
      </c>
      <c r="BR53" s="116">
        <f t="shared" si="35"/>
        <v>3.337783711615487</v>
      </c>
      <c r="BS53" s="155">
        <f t="shared" si="36"/>
        <v>2.202937249666222</v>
      </c>
      <c r="BT53" s="165">
        <f t="shared" si="37"/>
        <v>99.99999999999999</v>
      </c>
      <c r="BV53" s="67" t="s">
        <v>135</v>
      </c>
      <c r="BW53" s="130">
        <f>(BW24/BW27)*100</f>
        <v>2.3913119147899335</v>
      </c>
      <c r="BX53" s="130">
        <f>(BX24/BX27)*100</f>
        <v>2.2895284576186037</v>
      </c>
      <c r="BY53" s="132">
        <f>(BY24/BY27)*100</f>
        <v>2.3411962187472395</v>
      </c>
      <c r="CA53" s="67" t="s">
        <v>135</v>
      </c>
      <c r="CB53" s="76">
        <f t="shared" si="38"/>
        <v>44.98327759197324</v>
      </c>
      <c r="CC53" s="76">
        <f t="shared" si="39"/>
        <v>45.108695652173914</v>
      </c>
      <c r="CD53" s="76">
        <f t="shared" si="40"/>
        <v>7.065217391304348</v>
      </c>
      <c r="CE53" s="76">
        <f t="shared" si="41"/>
        <v>2.842809364548495</v>
      </c>
      <c r="CF53" s="79">
        <f t="shared" si="42"/>
        <v>100</v>
      </c>
    </row>
    <row r="54" spans="1:84" ht="15">
      <c r="A54" s="3" t="s">
        <v>271</v>
      </c>
      <c r="B54" s="153">
        <f aca="true" t="shared" si="119" ref="B54:K54">(B25/B27)*100</f>
        <v>1.0043041606886656</v>
      </c>
      <c r="C54" s="153">
        <f t="shared" si="119"/>
        <v>0.8670911800569029</v>
      </c>
      <c r="D54" s="153">
        <f t="shared" si="119"/>
        <v>1.1710293249360362</v>
      </c>
      <c r="E54" s="153">
        <f t="shared" si="119"/>
        <v>0.8192791471600203</v>
      </c>
      <c r="F54" s="153">
        <f t="shared" si="119"/>
        <v>0.6665637585776231</v>
      </c>
      <c r="G54" s="153">
        <f t="shared" si="119"/>
        <v>0.8464150386299887</v>
      </c>
      <c r="H54" s="153">
        <f t="shared" si="119"/>
        <v>0.6053697079287708</v>
      </c>
      <c r="I54" s="153">
        <f t="shared" si="119"/>
        <v>0.5335365853658537</v>
      </c>
      <c r="J54" s="154">
        <f t="shared" si="119"/>
        <v>0.34894015936669964</v>
      </c>
      <c r="K54" s="120">
        <f t="shared" si="119"/>
        <v>0.7589700157983029</v>
      </c>
      <c r="M54" s="3" t="s">
        <v>271</v>
      </c>
      <c r="N54" s="43">
        <f>(N25/N27)*100</f>
        <v>0.19865920413309554</v>
      </c>
      <c r="O54" s="43">
        <f aca="true" t="shared" si="120" ref="O54:W54">(O25/O27)*100</f>
        <v>0.11655011655011654</v>
      </c>
      <c r="P54" s="43">
        <f t="shared" si="120"/>
        <v>0.03078817733990148</v>
      </c>
      <c r="Q54" s="43">
        <f t="shared" si="120"/>
        <v>0.4329004329004329</v>
      </c>
      <c r="R54" s="43">
        <f t="shared" si="120"/>
        <v>6.348500767800856</v>
      </c>
      <c r="S54" s="43">
        <f t="shared" si="120"/>
        <v>0.4807692307692308</v>
      </c>
      <c r="T54" s="43">
        <f t="shared" si="120"/>
        <v>1.6367887763055338</v>
      </c>
      <c r="U54" s="43">
        <f t="shared" si="120"/>
        <v>0.34324389654338894</v>
      </c>
      <c r="V54" s="43">
        <f t="shared" si="120"/>
        <v>0.5597711158104242</v>
      </c>
      <c r="W54" s="43">
        <f t="shared" si="120"/>
        <v>0.7654847798824085</v>
      </c>
      <c r="Y54" s="3" t="s">
        <v>271</v>
      </c>
      <c r="Z54" s="43">
        <f>(Z25/Z27)*100</f>
        <v>0.37042263458689056</v>
      </c>
      <c r="AA54" s="43">
        <f aca="true" t="shared" si="121" ref="AA54:AH54">(AA25/AA27)*100</f>
        <v>1.475459199036435</v>
      </c>
      <c r="AB54" s="43">
        <f t="shared" si="121"/>
        <v>1.4602964677357138</v>
      </c>
      <c r="AC54" s="43">
        <f t="shared" si="121"/>
        <v>1.4543547852963903</v>
      </c>
      <c r="AD54" s="43">
        <f t="shared" si="121"/>
        <v>1.4852452608950557</v>
      </c>
      <c r="AE54" s="43">
        <f t="shared" si="121"/>
        <v>2.43531202435312</v>
      </c>
      <c r="AF54" s="43">
        <f t="shared" si="121"/>
        <v>2.5380710659898478</v>
      </c>
      <c r="AG54" s="43">
        <f t="shared" si="121"/>
        <v>1.4874784707063449</v>
      </c>
      <c r="AH54" s="44">
        <f t="shared" si="121"/>
        <v>0.7654847798824085</v>
      </c>
      <c r="AJ54" s="3" t="s">
        <v>271</v>
      </c>
      <c r="AK54" s="62">
        <f t="shared" si="21"/>
        <v>94.46808510638299</v>
      </c>
      <c r="AL54" s="62">
        <f t="shared" si="22"/>
        <v>2.9787234042553195</v>
      </c>
      <c r="AM54" s="62">
        <f t="shared" si="23"/>
        <v>1.1063829787234043</v>
      </c>
      <c r="AN54" s="62">
        <f t="shared" si="24"/>
        <v>1.446808510638298</v>
      </c>
      <c r="AO54" s="139">
        <f t="shared" si="25"/>
        <v>5.531914893617021</v>
      </c>
      <c r="AP54" s="181">
        <f t="shared" si="26"/>
        <v>100</v>
      </c>
      <c r="AR54" s="3" t="s">
        <v>270</v>
      </c>
      <c r="AS54" s="43">
        <f>(AS24/AS28)*100</f>
        <v>3.1478492071028397</v>
      </c>
      <c r="AT54" s="43">
        <f aca="true" t="shared" si="122" ref="AT54:BG54">(AT24/AT28)*100</f>
        <v>1.358129892034823</v>
      </c>
      <c r="AU54" s="43">
        <f t="shared" si="122"/>
        <v>1.4800389483933787</v>
      </c>
      <c r="AV54" s="43">
        <f t="shared" si="122"/>
        <v>0.3431372549019608</v>
      </c>
      <c r="AW54" s="43">
        <f t="shared" si="122"/>
        <v>0.18832391713747645</v>
      </c>
      <c r="AX54" s="43">
        <f t="shared" si="122"/>
        <v>0.24630541871921183</v>
      </c>
      <c r="AY54" s="43">
        <f t="shared" si="122"/>
        <v>0</v>
      </c>
      <c r="AZ54" s="43">
        <f t="shared" si="122"/>
        <v>0</v>
      </c>
      <c r="BA54" s="43">
        <f t="shared" si="122"/>
        <v>0</v>
      </c>
      <c r="BB54" s="43">
        <f t="shared" si="122"/>
        <v>1.2549019607843137</v>
      </c>
      <c r="BC54" s="43">
        <f t="shared" si="122"/>
        <v>0.2062564455139223</v>
      </c>
      <c r="BD54" s="43">
        <f t="shared" si="122"/>
        <v>0.18975332068311196</v>
      </c>
      <c r="BE54" s="43">
        <f t="shared" si="122"/>
        <v>1.4770935696683045</v>
      </c>
      <c r="BF54" s="43">
        <f t="shared" si="122"/>
        <v>1.7216068330441745</v>
      </c>
      <c r="BG54" s="44">
        <f t="shared" si="122"/>
        <v>1.8374892099219857</v>
      </c>
      <c r="BI54" s="3" t="s">
        <v>271</v>
      </c>
      <c r="BJ54" s="191">
        <f t="shared" si="27"/>
        <v>21.331316187594553</v>
      </c>
      <c r="BK54" s="191">
        <f t="shared" si="28"/>
        <v>14.22087745839637</v>
      </c>
      <c r="BL54" s="191">
        <f t="shared" si="29"/>
        <v>18.608169440242055</v>
      </c>
      <c r="BM54" s="191">
        <f t="shared" si="30"/>
        <v>10.136157337367626</v>
      </c>
      <c r="BN54" s="191">
        <f t="shared" si="31"/>
        <v>8.623298033282904</v>
      </c>
      <c r="BO54" s="191">
        <f t="shared" si="32"/>
        <v>14.977307110438728</v>
      </c>
      <c r="BP54" s="191">
        <f t="shared" si="33"/>
        <v>3.7821482602118004</v>
      </c>
      <c r="BQ54" s="191">
        <f t="shared" si="34"/>
        <v>3.177004538577912</v>
      </c>
      <c r="BR54" s="192">
        <f t="shared" si="35"/>
        <v>3.3282904689863844</v>
      </c>
      <c r="BS54" s="193">
        <f t="shared" si="36"/>
        <v>1.8154311649016641</v>
      </c>
      <c r="BT54" s="194">
        <f t="shared" si="37"/>
        <v>100</v>
      </c>
      <c r="BV54" s="3" t="s">
        <v>271</v>
      </c>
      <c r="BW54" s="43">
        <f>(BW25/BW27)*100</f>
        <v>1.0407602074558808</v>
      </c>
      <c r="BX54" s="43">
        <f>(BX25/BX27)*100</f>
        <v>0.9725113040981842</v>
      </c>
      <c r="BY54" s="44">
        <f>(BY25/BY27)*100</f>
        <v>1.0071561091969254</v>
      </c>
      <c r="CA54" s="3" t="s">
        <v>271</v>
      </c>
      <c r="CB54" s="62">
        <f t="shared" si="38"/>
        <v>43.47826086956522</v>
      </c>
      <c r="CC54" s="62">
        <f t="shared" si="39"/>
        <v>44.70457079152732</v>
      </c>
      <c r="CD54" s="62">
        <f t="shared" si="40"/>
        <v>8.361204013377927</v>
      </c>
      <c r="CE54" s="62">
        <f t="shared" si="41"/>
        <v>3.455964325529543</v>
      </c>
      <c r="CF54" s="63">
        <f t="shared" si="42"/>
        <v>100.00000000000001</v>
      </c>
    </row>
    <row r="55" spans="1:84" ht="15">
      <c r="A55" s="146" t="s">
        <v>272</v>
      </c>
      <c r="B55" s="157">
        <f aca="true" t="shared" si="123" ref="B55:K55">(B26/B27)*100</f>
        <v>1.2305485045800684</v>
      </c>
      <c r="C55" s="157">
        <f t="shared" si="123"/>
        <v>1.4767646660344127</v>
      </c>
      <c r="D55" s="157">
        <f t="shared" si="123"/>
        <v>1.505609132060618</v>
      </c>
      <c r="E55" s="157">
        <f t="shared" si="123"/>
        <v>1.542670201364995</v>
      </c>
      <c r="F55" s="157">
        <f t="shared" si="123"/>
        <v>1.3625966517449937</v>
      </c>
      <c r="G55" s="157">
        <f t="shared" si="123"/>
        <v>1.4197135967718124</v>
      </c>
      <c r="H55" s="157">
        <f t="shared" si="123"/>
        <v>1.1989464994693186</v>
      </c>
      <c r="I55" s="157">
        <f t="shared" si="123"/>
        <v>0.9581881533101044</v>
      </c>
      <c r="J55" s="158">
        <f t="shared" si="123"/>
        <v>0.8020415603353991</v>
      </c>
      <c r="K55" s="166">
        <f t="shared" si="123"/>
        <v>1.3335722080164172</v>
      </c>
      <c r="M55" s="146" t="s">
        <v>272</v>
      </c>
      <c r="N55" s="167">
        <f>(N26/N27)*100</f>
        <v>1.0548004182299036</v>
      </c>
      <c r="O55" s="167">
        <f aca="true" t="shared" si="124" ref="O55:W55">(O26/O27)*100</f>
        <v>2.331002331002331</v>
      </c>
      <c r="P55" s="167">
        <f t="shared" si="124"/>
        <v>1.5240147783251232</v>
      </c>
      <c r="Q55" s="167">
        <f t="shared" si="124"/>
        <v>5.071119356833643</v>
      </c>
      <c r="R55" s="167">
        <f t="shared" si="124"/>
        <v>4.085508769093995</v>
      </c>
      <c r="S55" s="167">
        <f t="shared" si="124"/>
        <v>8.29326923076923</v>
      </c>
      <c r="T55" s="167">
        <f t="shared" si="124"/>
        <v>3.2735775526110675</v>
      </c>
      <c r="U55" s="167">
        <f t="shared" si="124"/>
        <v>0.820642978003384</v>
      </c>
      <c r="V55" s="167">
        <f t="shared" si="124"/>
        <v>1.397354563171207</v>
      </c>
      <c r="W55" s="167">
        <f t="shared" si="124"/>
        <v>1.3335722080164172</v>
      </c>
      <c r="Y55" s="146" t="s">
        <v>272</v>
      </c>
      <c r="Z55" s="167">
        <f>(Z26/Z27)*100</f>
        <v>0.5059922790819567</v>
      </c>
      <c r="AA55" s="167">
        <f aca="true" t="shared" si="125" ref="AA55:AH55">(AA26/AA27)*100</f>
        <v>2.9423151374370886</v>
      </c>
      <c r="AB55" s="167">
        <f t="shared" si="125"/>
        <v>2.6285336419242853</v>
      </c>
      <c r="AC55" s="167">
        <f t="shared" si="125"/>
        <v>2.9114692570923943</v>
      </c>
      <c r="AD55" s="167">
        <f t="shared" si="125"/>
        <v>3.0486613249951144</v>
      </c>
      <c r="AE55" s="167">
        <f t="shared" si="125"/>
        <v>2.9426686960933535</v>
      </c>
      <c r="AF55" s="167">
        <f t="shared" si="125"/>
        <v>4.568527918781726</v>
      </c>
      <c r="AG55" s="167">
        <f t="shared" si="125"/>
        <v>2.846011439308115</v>
      </c>
      <c r="AH55" s="176">
        <f t="shared" si="125"/>
        <v>1.3335722080164172</v>
      </c>
      <c r="AJ55" s="146" t="s">
        <v>272</v>
      </c>
      <c r="AK55" s="62">
        <f t="shared" si="21"/>
        <v>94.21104054714216</v>
      </c>
      <c r="AL55" s="62">
        <f t="shared" si="22"/>
        <v>3.517342452369321</v>
      </c>
      <c r="AM55" s="62">
        <f t="shared" si="23"/>
        <v>0.9526135808500245</v>
      </c>
      <c r="AN55" s="62">
        <f t="shared" si="24"/>
        <v>1.3190034196384954</v>
      </c>
      <c r="AO55" s="139">
        <f t="shared" si="25"/>
        <v>5.78895945285784</v>
      </c>
      <c r="AP55" s="181">
        <f t="shared" si="26"/>
        <v>100</v>
      </c>
      <c r="AR55" s="67" t="s">
        <v>135</v>
      </c>
      <c r="AS55" s="130">
        <f>(AS25/AS28)*100</f>
        <v>2.7965055550280127</v>
      </c>
      <c r="AT55" s="130">
        <f aca="true" t="shared" si="126" ref="AT55:BG55">(AT25/AT28)*100</f>
        <v>0.6421687911238394</v>
      </c>
      <c r="AU55" s="130">
        <f t="shared" si="126"/>
        <v>0.8519961051606622</v>
      </c>
      <c r="AV55" s="130">
        <f t="shared" si="126"/>
        <v>0.09803921568627451</v>
      </c>
      <c r="AW55" s="130">
        <f t="shared" si="126"/>
        <v>0.3766478342749529</v>
      </c>
      <c r="AX55" s="130">
        <f t="shared" si="126"/>
        <v>0.1539408866995074</v>
      </c>
      <c r="AY55" s="130">
        <f t="shared" si="126"/>
        <v>0</v>
      </c>
      <c r="AZ55" s="130">
        <f t="shared" si="126"/>
        <v>0.08984725965858043</v>
      </c>
      <c r="BA55" s="130">
        <f t="shared" si="126"/>
        <v>0</v>
      </c>
      <c r="BB55" s="130">
        <f t="shared" si="126"/>
        <v>0.6274509803921569</v>
      </c>
      <c r="BC55" s="130">
        <f t="shared" si="126"/>
        <v>0.5328291509109659</v>
      </c>
      <c r="BD55" s="130">
        <f t="shared" si="126"/>
        <v>0.7590132827324478</v>
      </c>
      <c r="BE55" s="130">
        <f t="shared" si="126"/>
        <v>4.331787359752645</v>
      </c>
      <c r="BF55" s="130">
        <f t="shared" si="126"/>
        <v>3.9903910316295206</v>
      </c>
      <c r="BG55" s="132">
        <f t="shared" si="126"/>
        <v>2.099056987898826</v>
      </c>
      <c r="BI55" s="146" t="s">
        <v>272</v>
      </c>
      <c r="BJ55" s="191">
        <f t="shared" si="27"/>
        <v>21.385902031063324</v>
      </c>
      <c r="BK55" s="191">
        <f t="shared" si="28"/>
        <v>13.978494623655912</v>
      </c>
      <c r="BL55" s="191">
        <f t="shared" si="29"/>
        <v>16.248506571087216</v>
      </c>
      <c r="BM55" s="191">
        <f t="shared" si="30"/>
        <v>10.15531660692951</v>
      </c>
      <c r="BN55" s="191">
        <f t="shared" si="31"/>
        <v>9.79689366786141</v>
      </c>
      <c r="BO55" s="191">
        <f t="shared" si="32"/>
        <v>13.978494623655912</v>
      </c>
      <c r="BP55" s="191">
        <f t="shared" si="33"/>
        <v>4.778972520908005</v>
      </c>
      <c r="BQ55" s="191">
        <f t="shared" si="34"/>
        <v>3.823178016726404</v>
      </c>
      <c r="BR55" s="192">
        <f t="shared" si="35"/>
        <v>3.345280764635603</v>
      </c>
      <c r="BS55" s="193">
        <f t="shared" si="36"/>
        <v>2.5089605734767026</v>
      </c>
      <c r="BT55" s="194">
        <f t="shared" si="37"/>
        <v>99.99999999999997</v>
      </c>
      <c r="BV55" s="146" t="s">
        <v>272</v>
      </c>
      <c r="BW55" s="167">
        <f>(BW26/BW27)*100</f>
        <v>1.3505517073340527</v>
      </c>
      <c r="BX55" s="167">
        <f>(BX26/BX27)*100</f>
        <v>1.3170171535204191</v>
      </c>
      <c r="BY55" s="176">
        <f>(BY26/BY27)*100</f>
        <v>1.3340401095503136</v>
      </c>
      <c r="CA55" s="3" t="s">
        <v>272</v>
      </c>
      <c r="CB55" s="62">
        <f t="shared" si="38"/>
        <v>45.886287625418056</v>
      </c>
      <c r="CC55" s="62">
        <f t="shared" si="39"/>
        <v>45.35117056856187</v>
      </c>
      <c r="CD55" s="62">
        <f t="shared" si="40"/>
        <v>6.287625418060201</v>
      </c>
      <c r="CE55" s="62">
        <f t="shared" si="41"/>
        <v>2.4749163879598663</v>
      </c>
      <c r="CF55" s="63">
        <f t="shared" si="42"/>
        <v>100</v>
      </c>
    </row>
    <row r="56" spans="1:84" ht="15">
      <c r="A56" s="127" t="s">
        <v>48</v>
      </c>
      <c r="B56" s="120">
        <f aca="true" t="shared" si="127" ref="B56:K56">SUM(B33+B38+B43+B49+B53)</f>
        <v>100</v>
      </c>
      <c r="C56" s="120">
        <f t="shared" si="127"/>
        <v>100.00000000000001</v>
      </c>
      <c r="D56" s="120">
        <f t="shared" si="127"/>
        <v>100</v>
      </c>
      <c r="E56" s="120">
        <f t="shared" si="127"/>
        <v>100.00000000000001</v>
      </c>
      <c r="F56" s="120">
        <f t="shared" si="127"/>
        <v>100.00000000000001</v>
      </c>
      <c r="G56" s="120">
        <f t="shared" si="127"/>
        <v>100</v>
      </c>
      <c r="H56" s="120">
        <f t="shared" si="127"/>
        <v>100</v>
      </c>
      <c r="I56" s="120">
        <f t="shared" si="127"/>
        <v>100.00000000000001</v>
      </c>
      <c r="J56" s="120">
        <f t="shared" si="127"/>
        <v>100</v>
      </c>
      <c r="K56" s="120">
        <f t="shared" si="127"/>
        <v>99.99999999999999</v>
      </c>
      <c r="M56" s="127" t="s">
        <v>48</v>
      </c>
      <c r="N56" s="131">
        <f>N34+N35+N36+N37+N39+N40+N41+N42+N44+N45+N46+N47+N48+N50+N51+N52+N54+N55</f>
        <v>100.00000000000001</v>
      </c>
      <c r="O56" s="131">
        <f aca="true" t="shared" si="128" ref="O56:W56">O34+O35+O36+O37+O39+O40+O41+O42+O44+O45+O46+O47+O48+O50+O51+O52+O54+O55</f>
        <v>100</v>
      </c>
      <c r="P56" s="131">
        <f t="shared" si="128"/>
        <v>100</v>
      </c>
      <c r="Q56" s="131">
        <f t="shared" si="128"/>
        <v>100.00000000000001</v>
      </c>
      <c r="R56" s="131">
        <f t="shared" si="128"/>
        <v>99.99999999999999</v>
      </c>
      <c r="S56" s="131">
        <f t="shared" si="128"/>
        <v>99.99999999999999</v>
      </c>
      <c r="T56" s="131">
        <f t="shared" si="128"/>
        <v>100.00000000000001</v>
      </c>
      <c r="U56" s="131">
        <f t="shared" si="128"/>
        <v>99.99999999999997</v>
      </c>
      <c r="V56" s="131">
        <f t="shared" si="128"/>
        <v>99.99999999999997</v>
      </c>
      <c r="W56" s="131">
        <f t="shared" si="128"/>
        <v>100.00000000000001</v>
      </c>
      <c r="Y56" s="127" t="s">
        <v>48</v>
      </c>
      <c r="Z56" s="131">
        <f>Z34+Z35+Z36+Z37+Z39+Z40+Z41+Z42+Z45++Z44+Z46+Z47+Z48+Z50+Z51+Z52+Z54+Z55</f>
        <v>100.00000000000001</v>
      </c>
      <c r="AA56" s="131">
        <f aca="true" t="shared" si="129" ref="AA56:AH56">AA34+AA35+AA36+AA37+AA39+AA40+AA41+AA42+AA45++AA44+AA46+AA47+AA48+AA50+AA51+AA52+AA54+AA55</f>
        <v>100.00000000000003</v>
      </c>
      <c r="AB56" s="131">
        <f t="shared" si="129"/>
        <v>100</v>
      </c>
      <c r="AC56" s="131">
        <f t="shared" si="129"/>
        <v>99.99999999999999</v>
      </c>
      <c r="AD56" s="131">
        <f t="shared" si="129"/>
        <v>100.00000000000001</v>
      </c>
      <c r="AE56" s="131">
        <f t="shared" si="129"/>
        <v>100.00000000000001</v>
      </c>
      <c r="AF56" s="131">
        <f t="shared" si="129"/>
        <v>100.00000000000001</v>
      </c>
      <c r="AG56" s="131">
        <f t="shared" si="129"/>
        <v>100.00000000000001</v>
      </c>
      <c r="AH56" s="131">
        <f t="shared" si="129"/>
        <v>100.00000000000001</v>
      </c>
      <c r="AJ56" s="127" t="s">
        <v>48</v>
      </c>
      <c r="AK56" s="62">
        <f t="shared" si="21"/>
        <v>93.49012198895747</v>
      </c>
      <c r="AL56" s="62">
        <f t="shared" si="22"/>
        <v>4.27759409762374</v>
      </c>
      <c r="AM56" s="62">
        <f t="shared" si="23"/>
        <v>0.9368230752943858</v>
      </c>
      <c r="AN56" s="62">
        <f t="shared" si="24"/>
        <v>1.2954608381243995</v>
      </c>
      <c r="AO56" s="139">
        <f t="shared" si="25"/>
        <v>6.509878011042525</v>
      </c>
      <c r="AP56" s="181">
        <f t="shared" si="26"/>
        <v>99.99999999999999</v>
      </c>
      <c r="AR56" s="3" t="s">
        <v>271</v>
      </c>
      <c r="AS56" s="43">
        <f>(AS26/AS28)*100</f>
        <v>1.1549235590162377</v>
      </c>
      <c r="AT56" s="43">
        <f aca="true" t="shared" si="130" ref="AT56:BG56">(AT26/AT28)*100</f>
        <v>0.26881484279602574</v>
      </c>
      <c r="AU56" s="43">
        <f t="shared" si="130"/>
        <v>0.501460564751704</v>
      </c>
      <c r="AV56" s="43">
        <f t="shared" si="130"/>
        <v>0.049019607843137254</v>
      </c>
      <c r="AW56" s="43">
        <f t="shared" si="130"/>
        <v>0.18832391713747645</v>
      </c>
      <c r="AX56" s="43">
        <f t="shared" si="130"/>
        <v>0.03078817733990148</v>
      </c>
      <c r="AY56" s="43">
        <f t="shared" si="130"/>
        <v>0</v>
      </c>
      <c r="AZ56" s="43">
        <f t="shared" si="130"/>
        <v>0.08984725965858043</v>
      </c>
      <c r="BA56" s="43">
        <f t="shared" si="130"/>
        <v>0</v>
      </c>
      <c r="BB56" s="43">
        <f t="shared" si="130"/>
        <v>0.1568627450980392</v>
      </c>
      <c r="BC56" s="43">
        <f t="shared" si="130"/>
        <v>0.2062564455139223</v>
      </c>
      <c r="BD56" s="43">
        <f t="shared" si="130"/>
        <v>0.5692599620493358</v>
      </c>
      <c r="BE56" s="43">
        <f t="shared" si="130"/>
        <v>1.29800554101422</v>
      </c>
      <c r="BF56" s="43">
        <f t="shared" si="130"/>
        <v>1.3212331509408781</v>
      </c>
      <c r="BG56" s="44">
        <f t="shared" si="130"/>
        <v>0.7654847798824085</v>
      </c>
      <c r="BI56" s="127" t="s">
        <v>48</v>
      </c>
      <c r="BJ56" s="195">
        <f t="shared" si="27"/>
        <v>24.744235356480253</v>
      </c>
      <c r="BK56" s="195">
        <f t="shared" si="28"/>
        <v>13.520629030833112</v>
      </c>
      <c r="BL56" s="195">
        <f t="shared" si="29"/>
        <v>16.30532732573549</v>
      </c>
      <c r="BM56" s="195">
        <f t="shared" si="30"/>
        <v>9.44253025885679</v>
      </c>
      <c r="BN56" s="195">
        <f t="shared" si="31"/>
        <v>9.11387931796095</v>
      </c>
      <c r="BO56" s="195">
        <f t="shared" si="32"/>
        <v>12.985246046470536</v>
      </c>
      <c r="BP56" s="195">
        <f t="shared" si="33"/>
        <v>3.947345171834968</v>
      </c>
      <c r="BQ56" s="195">
        <f t="shared" si="34"/>
        <v>3.69290573372206</v>
      </c>
      <c r="BR56" s="196">
        <f t="shared" si="35"/>
        <v>3.5338810849014934</v>
      </c>
      <c r="BS56" s="194">
        <f t="shared" si="36"/>
        <v>2.7140206732043466</v>
      </c>
      <c r="BT56" s="194">
        <f t="shared" si="37"/>
        <v>100</v>
      </c>
      <c r="BV56" s="127" t="s">
        <v>48</v>
      </c>
      <c r="BW56" s="131">
        <f>BW34+BW35+BW36+BW37+BW39+BW40+BW41+BW42+BW44+BW45+BW46+BW47+BW48+BW50+BW51+BW52+BW54+BW55</f>
        <v>99.99999999999997</v>
      </c>
      <c r="BX56" s="131">
        <f>BX34+BX35+BX36+BX37+BX39+BX40+BX41+BX42+BX44+BX45+BX46+BX47+BX48+BX50+BX51+BX52+BX54+BX55</f>
        <v>100</v>
      </c>
      <c r="BY56" s="131">
        <f>BY34+BY35+BY36+BY37+BY39+BY40+BY41+BY42+BY44+BY45+BY46+BY47+BY48+BY50+BY51+BY52+BY54+BY55</f>
        <v>100</v>
      </c>
      <c r="CA56" s="127" t="s">
        <v>48</v>
      </c>
      <c r="CB56" s="62">
        <f t="shared" si="38"/>
        <v>60.63696903282169</v>
      </c>
      <c r="CC56" s="62">
        <f t="shared" si="39"/>
        <v>35.54826695684826</v>
      </c>
      <c r="CD56" s="62">
        <f t="shared" si="40"/>
        <v>2.613933314430659</v>
      </c>
      <c r="CE56" s="62">
        <f t="shared" si="41"/>
        <v>1.2008306958993968</v>
      </c>
      <c r="CF56" s="63">
        <f t="shared" si="42"/>
        <v>100</v>
      </c>
    </row>
    <row r="57" spans="1:84" ht="15">
      <c r="A57" s="57" t="s">
        <v>273</v>
      </c>
      <c r="B57" s="59"/>
      <c r="C57" s="59"/>
      <c r="D57" s="59"/>
      <c r="E57" s="59"/>
      <c r="F57" s="59"/>
      <c r="G57" s="59"/>
      <c r="H57" s="59"/>
      <c r="I57" s="59"/>
      <c r="J57" s="59"/>
      <c r="K57" s="58" t="s">
        <v>18</v>
      </c>
      <c r="M57" s="57" t="s">
        <v>276</v>
      </c>
      <c r="N57" s="59"/>
      <c r="O57" s="59"/>
      <c r="P57" s="59"/>
      <c r="Q57" s="59"/>
      <c r="R57" s="59"/>
      <c r="S57" s="59"/>
      <c r="T57" s="59"/>
      <c r="U57" s="59"/>
      <c r="V57" s="59"/>
      <c r="W57" s="58" t="s">
        <v>18</v>
      </c>
      <c r="Y57" s="57" t="s">
        <v>282</v>
      </c>
      <c r="Z57" s="59"/>
      <c r="AA57" s="59"/>
      <c r="AB57" s="59"/>
      <c r="AC57" s="59"/>
      <c r="AD57" s="59"/>
      <c r="AE57" s="59"/>
      <c r="AF57" s="59"/>
      <c r="AG57" s="59"/>
      <c r="AH57" s="58" t="s">
        <v>18</v>
      </c>
      <c r="AJ57" s="57" t="s">
        <v>291</v>
      </c>
      <c r="AK57" s="59"/>
      <c r="AL57" s="59"/>
      <c r="AM57" s="59"/>
      <c r="AN57" s="59"/>
      <c r="AO57" s="59"/>
      <c r="AP57" s="58" t="s">
        <v>18</v>
      </c>
      <c r="AR57" s="146" t="s">
        <v>272</v>
      </c>
      <c r="AS57" s="167">
        <f>(AS27/AS28)*100</f>
        <v>1.6415819960117748</v>
      </c>
      <c r="AT57" s="167">
        <f aca="true" t="shared" si="131" ref="AT57:BG57">(AT27/AT28)*100</f>
        <v>0.37335394832781355</v>
      </c>
      <c r="AU57" s="167">
        <f t="shared" si="131"/>
        <v>0.3505355404089581</v>
      </c>
      <c r="AV57" s="167">
        <f t="shared" si="131"/>
        <v>0.049019607843137254</v>
      </c>
      <c r="AW57" s="167">
        <f t="shared" si="131"/>
        <v>0.18832391713747645</v>
      </c>
      <c r="AX57" s="167">
        <f t="shared" si="131"/>
        <v>0.12315270935960591</v>
      </c>
      <c r="AY57" s="167">
        <f t="shared" si="131"/>
        <v>0</v>
      </c>
      <c r="AZ57" s="167">
        <f t="shared" si="131"/>
        <v>0</v>
      </c>
      <c r="BA57" s="167">
        <f t="shared" si="131"/>
        <v>0</v>
      </c>
      <c r="BB57" s="167">
        <f t="shared" si="131"/>
        <v>0.4705882352941176</v>
      </c>
      <c r="BC57" s="167">
        <f t="shared" si="131"/>
        <v>0.32657270539704364</v>
      </c>
      <c r="BD57" s="167">
        <f t="shared" si="131"/>
        <v>0.18975332068311196</v>
      </c>
      <c r="BE57" s="167">
        <f t="shared" si="131"/>
        <v>3.0337818187384245</v>
      </c>
      <c r="BF57" s="167">
        <f t="shared" si="131"/>
        <v>2.6691578806886427</v>
      </c>
      <c r="BG57" s="176">
        <f t="shared" si="131"/>
        <v>1.3335722080164172</v>
      </c>
      <c r="BI57" s="57" t="s">
        <v>319</v>
      </c>
      <c r="BJ57" s="59"/>
      <c r="BK57" s="59"/>
      <c r="BL57" s="59"/>
      <c r="BM57" s="59"/>
      <c r="BN57" s="59"/>
      <c r="BO57" s="59"/>
      <c r="BP57" s="59"/>
      <c r="BQ57" s="59"/>
      <c r="BR57" s="59"/>
      <c r="BT57" s="58" t="s">
        <v>18</v>
      </c>
      <c r="BV57" s="57" t="s">
        <v>327</v>
      </c>
      <c r="BW57" s="59"/>
      <c r="BX57" s="59"/>
      <c r="BY57" s="58" t="s">
        <v>18</v>
      </c>
      <c r="CA57" s="57" t="s">
        <v>335</v>
      </c>
      <c r="CB57" s="59"/>
      <c r="CC57" s="59"/>
      <c r="CE57" s="59"/>
      <c r="CF57" s="58" t="s">
        <v>18</v>
      </c>
    </row>
    <row r="58" spans="1:84" ht="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8" t="s">
        <v>31</v>
      </c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8" t="s">
        <v>31</v>
      </c>
      <c r="Y58" s="59"/>
      <c r="Z58" s="59"/>
      <c r="AA58" s="59"/>
      <c r="AB58" s="59"/>
      <c r="AC58" s="59"/>
      <c r="AD58" s="59"/>
      <c r="AE58" s="59"/>
      <c r="AF58" s="59"/>
      <c r="AG58" s="59"/>
      <c r="AH58" s="58" t="s">
        <v>31</v>
      </c>
      <c r="AJ58" s="59"/>
      <c r="AK58" s="59"/>
      <c r="AL58" s="59"/>
      <c r="AM58" s="59"/>
      <c r="AN58" s="59"/>
      <c r="AO58" s="59"/>
      <c r="AP58" s="58" t="s">
        <v>31</v>
      </c>
      <c r="AR58" s="127" t="s">
        <v>48</v>
      </c>
      <c r="AS58" s="131">
        <f>AS36+AS37+AS38+AS39+AS41+AS42+AS43+AS44+AS46+AS47+AS48+AS49+AS50+AS52+AS53+AS54+AS56+AS57</f>
        <v>100</v>
      </c>
      <c r="AT58" s="131">
        <f aca="true" t="shared" si="132" ref="AT58:BG58">AT36+AT37+AT38+AT39+AT41+AT42+AT43+AT44+AT46+AT47+AT48+AT49+AT50+AT52+AT53+AT54+AT56+AT57</f>
        <v>99.99999999999999</v>
      </c>
      <c r="AU58" s="131">
        <f t="shared" si="132"/>
        <v>100.00000000000003</v>
      </c>
      <c r="AV58" s="131">
        <f t="shared" si="132"/>
        <v>99.99999999999999</v>
      </c>
      <c r="AW58" s="131">
        <f t="shared" si="132"/>
        <v>100.00000000000001</v>
      </c>
      <c r="AX58" s="131">
        <f t="shared" si="132"/>
        <v>99.99999999999999</v>
      </c>
      <c r="AY58" s="131">
        <f t="shared" si="132"/>
        <v>100</v>
      </c>
      <c r="AZ58" s="131">
        <f t="shared" si="132"/>
        <v>100.00000000000003</v>
      </c>
      <c r="BA58" s="131">
        <f t="shared" si="132"/>
        <v>100</v>
      </c>
      <c r="BB58" s="131">
        <f t="shared" si="132"/>
        <v>99.99999999999997</v>
      </c>
      <c r="BC58" s="131">
        <f t="shared" si="132"/>
        <v>99.99999999999999</v>
      </c>
      <c r="BD58" s="131">
        <f t="shared" si="132"/>
        <v>99.99999999999996</v>
      </c>
      <c r="BE58" s="131">
        <f t="shared" si="132"/>
        <v>99.99999999999997</v>
      </c>
      <c r="BF58" s="131">
        <f t="shared" si="132"/>
        <v>99.99999999999999</v>
      </c>
      <c r="BG58" s="131">
        <f t="shared" si="132"/>
        <v>100.00000000000001</v>
      </c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T58" s="58" t="s">
        <v>31</v>
      </c>
      <c r="BV58" s="59"/>
      <c r="BW58" s="59"/>
      <c r="BX58" s="59"/>
      <c r="BY58" s="58" t="s">
        <v>31</v>
      </c>
      <c r="CA58" s="59"/>
      <c r="CB58" s="59"/>
      <c r="CC58" s="59"/>
      <c r="CE58" s="59"/>
      <c r="CF58" s="58" t="s">
        <v>31</v>
      </c>
    </row>
    <row r="59" spans="44:59" ht="15">
      <c r="AR59" s="57" t="s">
        <v>305</v>
      </c>
      <c r="AS59" s="59"/>
      <c r="AT59" s="59"/>
      <c r="AU59" s="59"/>
      <c r="AV59" s="59"/>
      <c r="AW59" s="59"/>
      <c r="AX59" s="59"/>
      <c r="AY59" s="59"/>
      <c r="AZ59" s="59"/>
      <c r="BA59" s="59"/>
      <c r="BG59" s="58" t="s">
        <v>18</v>
      </c>
    </row>
    <row r="60" spans="44:59" ht="15"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G60" s="58" t="s">
        <v>31</v>
      </c>
    </row>
    <row r="61" spans="44:84" ht="15">
      <c r="AR61" s="56" t="s">
        <v>307</v>
      </c>
      <c r="AS61" s="59"/>
      <c r="AT61" s="59"/>
      <c r="AU61" s="59"/>
      <c r="AV61" s="59"/>
      <c r="AW61" s="59"/>
      <c r="AX61" s="59"/>
      <c r="AY61" s="59"/>
      <c r="AZ61" s="59"/>
      <c r="BA61" s="59"/>
      <c r="BI61" s="56" t="s">
        <v>322</v>
      </c>
      <c r="BJ61" s="59"/>
      <c r="BK61" s="59"/>
      <c r="BL61" s="59"/>
      <c r="BM61" s="59"/>
      <c r="BN61" s="59"/>
      <c r="BO61" s="59"/>
      <c r="BP61" s="59"/>
      <c r="BQ61" s="59"/>
      <c r="BR61" s="59"/>
      <c r="BS61" s="159"/>
      <c r="BV61" s="56" t="s">
        <v>329</v>
      </c>
      <c r="BW61" s="59"/>
      <c r="BX61" s="59"/>
      <c r="BY61" s="59"/>
      <c r="CA61" s="56" t="s">
        <v>339</v>
      </c>
      <c r="CB61" s="59"/>
      <c r="CC61" s="59"/>
      <c r="CD61" s="59"/>
      <c r="CE61" s="59"/>
      <c r="CF61" s="159"/>
    </row>
    <row r="62" spans="44:84" ht="15">
      <c r="AR62" s="17" t="s">
        <v>155</v>
      </c>
      <c r="AS62" s="256" t="s">
        <v>303</v>
      </c>
      <c r="AT62" s="256"/>
      <c r="AU62" s="256"/>
      <c r="AV62" s="256"/>
      <c r="AW62" s="256"/>
      <c r="AX62" s="256"/>
      <c r="AY62" s="256"/>
      <c r="AZ62" s="256"/>
      <c r="BA62" s="256"/>
      <c r="BB62" s="277"/>
      <c r="BC62" s="277"/>
      <c r="BD62" s="277"/>
      <c r="BE62" s="277"/>
      <c r="BF62" s="278"/>
      <c r="BG62" s="142"/>
      <c r="BI62" s="17" t="s">
        <v>155</v>
      </c>
      <c r="BJ62" s="279" t="s">
        <v>318</v>
      </c>
      <c r="BK62" s="279"/>
      <c r="BL62" s="279"/>
      <c r="BM62" s="279"/>
      <c r="BN62" s="279"/>
      <c r="BO62" s="279"/>
      <c r="BP62" s="279"/>
      <c r="BQ62" s="279"/>
      <c r="BR62" s="279"/>
      <c r="BS62" s="280"/>
      <c r="BT62" s="60"/>
      <c r="BV62" s="17" t="s">
        <v>155</v>
      </c>
      <c r="BW62" s="266" t="s">
        <v>325</v>
      </c>
      <c r="BX62" s="264"/>
      <c r="BY62" s="90"/>
      <c r="CA62" s="254" t="s">
        <v>155</v>
      </c>
      <c r="CB62" s="263" t="s">
        <v>334</v>
      </c>
      <c r="CC62" s="264"/>
      <c r="CD62" s="271"/>
      <c r="CE62" s="272"/>
      <c r="CF62" s="90"/>
    </row>
    <row r="63" spans="44:84" ht="15">
      <c r="AR63" s="83"/>
      <c r="AS63" s="239" t="s">
        <v>293</v>
      </c>
      <c r="AT63" s="239" t="s">
        <v>294</v>
      </c>
      <c r="AU63" s="239" t="s">
        <v>295</v>
      </c>
      <c r="AV63" s="239" t="s">
        <v>296</v>
      </c>
      <c r="AW63" s="239" t="s">
        <v>297</v>
      </c>
      <c r="AX63" s="239" t="s">
        <v>298</v>
      </c>
      <c r="AY63" s="239" t="s">
        <v>299</v>
      </c>
      <c r="AZ63" s="239" t="s">
        <v>300</v>
      </c>
      <c r="BA63" s="239" t="s">
        <v>301</v>
      </c>
      <c r="BB63" s="239" t="s">
        <v>92</v>
      </c>
      <c r="BC63" s="239" t="s">
        <v>302</v>
      </c>
      <c r="BD63" s="239" t="s">
        <v>94</v>
      </c>
      <c r="BE63" s="239" t="s">
        <v>177</v>
      </c>
      <c r="BF63" s="241" t="s">
        <v>95</v>
      </c>
      <c r="BG63" s="275" t="s">
        <v>20</v>
      </c>
      <c r="BI63" s="66"/>
      <c r="BJ63" s="15" t="s">
        <v>308</v>
      </c>
      <c r="BK63" s="2" t="s">
        <v>309</v>
      </c>
      <c r="BL63" s="2" t="s">
        <v>310</v>
      </c>
      <c r="BM63" s="2" t="s">
        <v>311</v>
      </c>
      <c r="BN63" s="2" t="s">
        <v>312</v>
      </c>
      <c r="BO63" s="2" t="s">
        <v>313</v>
      </c>
      <c r="BP63" s="2" t="s">
        <v>314</v>
      </c>
      <c r="BQ63" s="2" t="s">
        <v>315</v>
      </c>
      <c r="BR63" s="2" t="s">
        <v>316</v>
      </c>
      <c r="BS63" s="2" t="s">
        <v>317</v>
      </c>
      <c r="BT63" s="91" t="s">
        <v>20</v>
      </c>
      <c r="BV63" s="66"/>
      <c r="BW63" s="15" t="s">
        <v>323</v>
      </c>
      <c r="BX63" s="2" t="s">
        <v>324</v>
      </c>
      <c r="BY63" s="91" t="s">
        <v>20</v>
      </c>
      <c r="CA63" s="267"/>
      <c r="CB63" s="2" t="s">
        <v>330</v>
      </c>
      <c r="CC63" s="2" t="s">
        <v>331</v>
      </c>
      <c r="CD63" s="2" t="s">
        <v>332</v>
      </c>
      <c r="CE63" s="2" t="s">
        <v>333</v>
      </c>
      <c r="CF63" s="91" t="s">
        <v>20</v>
      </c>
    </row>
    <row r="64" spans="44:84" ht="15">
      <c r="AR64" s="182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4"/>
      <c r="BG64" s="276"/>
      <c r="BI64" s="82" t="s">
        <v>132</v>
      </c>
      <c r="BJ64" s="121">
        <f>(BJ4/BJ27)*100</f>
        <v>70.76549557269351</v>
      </c>
      <c r="BK64" s="121">
        <f>(BK4/BK27)*100</f>
        <v>64.17929952953476</v>
      </c>
      <c r="BL64" s="121">
        <f aca="true" t="shared" si="133" ref="BL64:BT64">(BL4/BL27)*100</f>
        <v>61.811876896402254</v>
      </c>
      <c r="BM64" s="121">
        <f t="shared" si="133"/>
        <v>59.487275449101794</v>
      </c>
      <c r="BN64" s="121">
        <f t="shared" si="133"/>
        <v>58.23962776269872</v>
      </c>
      <c r="BO64" s="121">
        <f t="shared" si="133"/>
        <v>55.150360593277995</v>
      </c>
      <c r="BP64" s="121">
        <f t="shared" si="133"/>
        <v>54.11817367949866</v>
      </c>
      <c r="BQ64" s="121">
        <f t="shared" si="133"/>
        <v>55.78947368421052</v>
      </c>
      <c r="BR64" s="121">
        <f t="shared" si="133"/>
        <v>52.849999999999994</v>
      </c>
      <c r="BS64" s="121">
        <f t="shared" si="133"/>
        <v>51.171875</v>
      </c>
      <c r="BT64" s="163">
        <f t="shared" si="133"/>
        <v>61.805813234384665</v>
      </c>
      <c r="BV64" s="82" t="s">
        <v>132</v>
      </c>
      <c r="BW64" s="179">
        <f>(BW4/BY4)*100</f>
        <v>51.07513439179897</v>
      </c>
      <c r="BX64" s="179">
        <f>(BX4/BY4)*100</f>
        <v>48.924865608201024</v>
      </c>
      <c r="BY64" s="87">
        <f>BW64+BX64</f>
        <v>100</v>
      </c>
      <c r="CA64" s="197" t="s">
        <v>132</v>
      </c>
      <c r="CB64" s="201">
        <f>(CB4/CB27)*100</f>
        <v>80.88895067423256</v>
      </c>
      <c r="CC64" s="201">
        <f>(CC4/CC27)*100</f>
        <v>72.46486160213848</v>
      </c>
      <c r="CD64" s="201">
        <f>(CD4/CD27)*100</f>
        <v>40.92641454119026</v>
      </c>
      <c r="CE64" s="201">
        <f>(CE4/CE27)*100</f>
        <v>37.65156349712827</v>
      </c>
      <c r="CF64" s="202">
        <f>(CF4/CF27)*100</f>
        <v>76.33053113960135</v>
      </c>
    </row>
    <row r="65" spans="44:84" ht="15">
      <c r="AR65" s="82" t="s">
        <v>132</v>
      </c>
      <c r="AS65" s="179">
        <f>(AS5/BG5)*100</f>
        <v>19.206171082402747</v>
      </c>
      <c r="AT65" s="179">
        <f>(AT5/BG5)*100</f>
        <v>44.64227063717977</v>
      </c>
      <c r="AU65" s="179">
        <f>(AU5/BG5)*100</f>
        <v>7.955623677103861</v>
      </c>
      <c r="AV65" s="179">
        <f>(AV5/BG5)*100</f>
        <v>0.8954638347565871</v>
      </c>
      <c r="AW65" s="179">
        <f>(AW5/BG5)*100</f>
        <v>0.23310342310780235</v>
      </c>
      <c r="AX65" s="179">
        <f>(AX5/BG5)*100</f>
        <v>1.43283336982702</v>
      </c>
      <c r="AY65" s="179">
        <f>(AY5/BG5)*100</f>
        <v>0.3663053791694037</v>
      </c>
      <c r="AZ65" s="179">
        <f>(AZ5/BG5)*100</f>
        <v>0.49494562440697765</v>
      </c>
      <c r="BA65" s="179">
        <f>(BA5/BG5)*100</f>
        <v>0.080286110502883</v>
      </c>
      <c r="BB65" s="179">
        <f>(BB5/BG5)*100</f>
        <v>0.524596744763156</v>
      </c>
      <c r="BC65" s="179">
        <f>(BC5/BG5)*100</f>
        <v>2.5600321144442013</v>
      </c>
      <c r="BD65" s="179">
        <f>(BD5/BG5)*100</f>
        <v>0.21850594847091453</v>
      </c>
      <c r="BE65" s="179">
        <f>(BE5/BG5)*100</f>
        <v>19.184274870447414</v>
      </c>
      <c r="BF65" s="179">
        <f>(BF5/BG5)*100</f>
        <v>2.205587183417269</v>
      </c>
      <c r="BG65" s="87">
        <f>SUM(AS65:BF65)</f>
        <v>100.00000000000001</v>
      </c>
      <c r="BI65" s="3" t="s">
        <v>254</v>
      </c>
      <c r="BJ65" s="191">
        <f>(BJ5/BJ27)*100</f>
        <v>50.84261639531562</v>
      </c>
      <c r="BK65" s="191">
        <f>(BK5/BK27)*100</f>
        <v>46.68060637741767</v>
      </c>
      <c r="BL65" s="191">
        <f aca="true" t="shared" si="134" ref="BL65:BT65">(BL5/BL27)*100</f>
        <v>45.69787602947551</v>
      </c>
      <c r="BM65" s="191">
        <f t="shared" si="134"/>
        <v>44.49850299401197</v>
      </c>
      <c r="BN65" s="191">
        <f t="shared" si="134"/>
        <v>44.338891043039936</v>
      </c>
      <c r="BO65" s="191">
        <f t="shared" si="134"/>
        <v>42.45475574908151</v>
      </c>
      <c r="BP65" s="191">
        <f t="shared" si="134"/>
        <v>42.52461951656222</v>
      </c>
      <c r="BQ65" s="191">
        <f t="shared" si="134"/>
        <v>43.82775119617225</v>
      </c>
      <c r="BR65" s="191">
        <f t="shared" si="134"/>
        <v>43.25</v>
      </c>
      <c r="BS65" s="191">
        <f t="shared" si="134"/>
        <v>39.84375</v>
      </c>
      <c r="BT65" s="195">
        <f t="shared" si="134"/>
        <v>46.005830903790084</v>
      </c>
      <c r="BV65" s="3" t="s">
        <v>254</v>
      </c>
      <c r="BW65" s="139">
        <f aca="true" t="shared" si="135" ref="BW65:BW87">(BW5/BY5)*100</f>
        <v>51.04146687636657</v>
      </c>
      <c r="BX65" s="139">
        <f aca="true" t="shared" si="136" ref="BX65:BX87">(BX5/BY5)*100</f>
        <v>48.95853312363344</v>
      </c>
      <c r="BY65" s="64">
        <f aca="true" t="shared" si="137" ref="BY65:BY87">BW65+BX65</f>
        <v>100</v>
      </c>
      <c r="CA65" s="3" t="s">
        <v>254</v>
      </c>
      <c r="CB65" s="11">
        <f>(CB5/CB27)*100</f>
        <v>65.4378404337331</v>
      </c>
      <c r="CC65" s="11">
        <f>(CC5/CC27)*100</f>
        <v>50.135810985599726</v>
      </c>
      <c r="CD65" s="11">
        <f>(CD5/CD27)*100</f>
        <v>20.492524186455586</v>
      </c>
      <c r="CE65" s="11">
        <f>(CE5/CE27)*100</f>
        <v>15.95405232929164</v>
      </c>
      <c r="CF65" s="12">
        <f>(CF5/CF27)*100</f>
        <v>58.22917704397938</v>
      </c>
    </row>
    <row r="66" spans="44:84" ht="15">
      <c r="AR66" s="3" t="s">
        <v>254</v>
      </c>
      <c r="AS66" s="139">
        <f aca="true" t="shared" si="138" ref="AS66:AS88">(AS6/BG6)*100</f>
        <v>22.937724060852943</v>
      </c>
      <c r="AT66" s="139">
        <f aca="true" t="shared" si="139" ref="AT66:AT88">(AT6/BG6)*100</f>
        <v>58.10894166936404</v>
      </c>
      <c r="AU66" s="139">
        <f aca="true" t="shared" si="140" ref="AU66:AU88">(AU6/BG6)*100</f>
        <v>10.46787875826773</v>
      </c>
      <c r="AV66" s="139">
        <f aca="true" t="shared" si="141" ref="AV66:AV88">(AV6/BG6)*100</f>
        <v>1.1878660551243136</v>
      </c>
      <c r="AW66" s="139">
        <f aca="true" t="shared" si="142" ref="AW66:AW88">(AW6/BG6)*100</f>
        <v>0.30963912079590084</v>
      </c>
      <c r="AX66" s="139">
        <f aca="true" t="shared" si="143" ref="AX66:AX88">(AX6/BG6)*100</f>
        <v>1.8981427760032734</v>
      </c>
      <c r="AY66" s="139">
        <f aca="true" t="shared" si="144" ref="AY66:AY88">(AY6/BG6)*100</f>
        <v>0.4891931671745888</v>
      </c>
      <c r="AZ66" s="139">
        <f aca="true" t="shared" si="145" ref="AZ66:AZ88">(AZ6/BG6)*100</f>
        <v>0.5288904903535505</v>
      </c>
      <c r="BA66" s="139">
        <f aca="true" t="shared" si="146" ref="BA66:BA88">(BA6/BG6)*100</f>
        <v>0.10443449636311447</v>
      </c>
      <c r="BB66" s="139">
        <f aca="true" t="shared" si="147" ref="BB66:BB88">(BB6/BG6)*100</f>
        <v>0.6797403184336047</v>
      </c>
      <c r="BC66" s="139">
        <f aca="true" t="shared" si="148" ref="BC66:BC88">(BC6/BG6)*100</f>
        <v>0.11970269758579202</v>
      </c>
      <c r="BD66" s="139">
        <f aca="true" t="shared" si="149" ref="BD66:BD88">(BD6/BG6)*100</f>
        <v>0.12642070612377013</v>
      </c>
      <c r="BE66" s="139">
        <f aca="true" t="shared" si="150" ref="BE66:BE88">(BE6/BG6)*100</f>
        <v>1.7674469735371536</v>
      </c>
      <c r="BF66" s="139">
        <f aca="true" t="shared" si="151" ref="BF66:BF88">(BF6/BG6)*100</f>
        <v>1.2739787100202151</v>
      </c>
      <c r="BG66" s="64">
        <f aca="true" t="shared" si="152" ref="BG66:BG88">SUM(AS66:BF66)</f>
        <v>99.99999999999999</v>
      </c>
      <c r="BI66" s="3" t="s">
        <v>255</v>
      </c>
      <c r="BJ66" s="191">
        <f>(BJ6/BJ27)*100</f>
        <v>1.892316481005427</v>
      </c>
      <c r="BK66" s="191">
        <f>(BK6/BK27)*100</f>
        <v>1.6989022477783586</v>
      </c>
      <c r="BL66" s="191">
        <f aca="true" t="shared" si="153" ref="BL66:BT66">(BL6/BL27)*100</f>
        <v>1.7338534893801474</v>
      </c>
      <c r="BM66" s="191">
        <f t="shared" si="153"/>
        <v>1.3847305389221556</v>
      </c>
      <c r="BN66" s="191">
        <f t="shared" si="153"/>
        <v>1.8030244280728964</v>
      </c>
      <c r="BO66" s="191">
        <f t="shared" si="153"/>
        <v>1.7961627432303715</v>
      </c>
      <c r="BP66" s="191">
        <f t="shared" si="153"/>
        <v>1.9247985675917636</v>
      </c>
      <c r="BQ66" s="191">
        <f t="shared" si="153"/>
        <v>1.7703349282296652</v>
      </c>
      <c r="BR66" s="191">
        <f t="shared" si="153"/>
        <v>1.25</v>
      </c>
      <c r="BS66" s="191">
        <f t="shared" si="153"/>
        <v>1.8229166666666667</v>
      </c>
      <c r="BT66" s="195">
        <f t="shared" si="153"/>
        <v>1.7439703153988868</v>
      </c>
      <c r="BV66" s="3" t="s">
        <v>255</v>
      </c>
      <c r="BW66" s="139">
        <f t="shared" si="135"/>
        <v>48.18401937046005</v>
      </c>
      <c r="BX66" s="139">
        <f t="shared" si="136"/>
        <v>51.81598062953995</v>
      </c>
      <c r="BY66" s="64">
        <f t="shared" si="137"/>
        <v>100</v>
      </c>
      <c r="CA66" s="3" t="s">
        <v>255</v>
      </c>
      <c r="CB66" s="11">
        <f>(CB6/CB27)*100</f>
        <v>3.788845779569553</v>
      </c>
      <c r="CC66" s="11">
        <f>(CC6/CC27)*100</f>
        <v>2.558851427093214</v>
      </c>
      <c r="CD66" s="11">
        <f>(CD6/CD27)*100</f>
        <v>1.2313104661389622</v>
      </c>
      <c r="CE66" s="11">
        <f>(CE6/CE27)*100</f>
        <v>1.6592214422463305</v>
      </c>
      <c r="CF66" s="12">
        <f>(CF6/CF27)*100</f>
        <v>3.2591786532610945</v>
      </c>
    </row>
    <row r="67" spans="44:84" ht="15">
      <c r="AR67" s="3" t="s">
        <v>255</v>
      </c>
      <c r="AS67" s="139">
        <f t="shared" si="138"/>
        <v>11.704070981210855</v>
      </c>
      <c r="AT67" s="139">
        <f t="shared" si="139"/>
        <v>7.698329853862212</v>
      </c>
      <c r="AU67" s="139">
        <f t="shared" si="140"/>
        <v>0.9786012526096033</v>
      </c>
      <c r="AV67" s="139">
        <f t="shared" si="141"/>
        <v>0.07828810020876827</v>
      </c>
      <c r="AW67" s="139">
        <f t="shared" si="142"/>
        <v>0.013048016701461376</v>
      </c>
      <c r="AX67" s="139">
        <f t="shared" si="143"/>
        <v>0.20876826722338201</v>
      </c>
      <c r="AY67" s="139">
        <f t="shared" si="144"/>
        <v>0</v>
      </c>
      <c r="AZ67" s="139">
        <f t="shared" si="145"/>
        <v>2.700939457202505</v>
      </c>
      <c r="BA67" s="139">
        <f t="shared" si="146"/>
        <v>0.0652400835073069</v>
      </c>
      <c r="BB67" s="139">
        <f t="shared" si="147"/>
        <v>0.11743215031315239</v>
      </c>
      <c r="BC67" s="139">
        <f t="shared" si="148"/>
        <v>68.58037578288099</v>
      </c>
      <c r="BD67" s="139">
        <f t="shared" si="149"/>
        <v>2.9488517745302714</v>
      </c>
      <c r="BE67" s="139">
        <f t="shared" si="150"/>
        <v>4.605949895615867</v>
      </c>
      <c r="BF67" s="139">
        <f t="shared" si="151"/>
        <v>0.3001043841336117</v>
      </c>
      <c r="BG67" s="64">
        <f t="shared" si="152"/>
        <v>99.99999999999999</v>
      </c>
      <c r="BI67" s="3" t="s">
        <v>256</v>
      </c>
      <c r="BJ67" s="191">
        <f>(BJ7/BJ27)*100</f>
        <v>0.042844901456726654</v>
      </c>
      <c r="BK67" s="191">
        <f>(BK7/BK27)*100</f>
        <v>0.052273915316257184</v>
      </c>
      <c r="BL67" s="191">
        <f aca="true" t="shared" si="154" ref="BL67:BT67">(BL7/BL27)*100</f>
        <v>0.043346337234503686</v>
      </c>
      <c r="BM67" s="191">
        <f t="shared" si="154"/>
        <v>0.037425149700598806</v>
      </c>
      <c r="BN67" s="191">
        <f t="shared" si="154"/>
        <v>0.05816207832493214</v>
      </c>
      <c r="BO67" s="191">
        <f t="shared" si="154"/>
        <v>0.17689481562117296</v>
      </c>
      <c r="BP67" s="191">
        <f t="shared" si="154"/>
        <v>0.13428827215756492</v>
      </c>
      <c r="BQ67" s="191">
        <f t="shared" si="154"/>
        <v>0.04784688995215311</v>
      </c>
      <c r="BR67" s="191">
        <f t="shared" si="154"/>
        <v>0</v>
      </c>
      <c r="BS67" s="191">
        <f t="shared" si="154"/>
        <v>0.13020833333333331</v>
      </c>
      <c r="BT67" s="195">
        <f t="shared" si="154"/>
        <v>0.06714374061312836</v>
      </c>
      <c r="BV67" s="3" t="s">
        <v>256</v>
      </c>
      <c r="BW67" s="139">
        <f t="shared" si="135"/>
        <v>50</v>
      </c>
      <c r="BX67" s="139">
        <f t="shared" si="136"/>
        <v>50</v>
      </c>
      <c r="BY67" s="64">
        <f t="shared" si="137"/>
        <v>100</v>
      </c>
      <c r="CA67" s="3" t="s">
        <v>256</v>
      </c>
      <c r="CB67" s="11">
        <f>(CB7/CB27)*100</f>
        <v>0.041705106979918354</v>
      </c>
      <c r="CC67" s="11">
        <f>(CC7/CC27)*100</f>
        <v>0.04742605846339571</v>
      </c>
      <c r="CD67" s="11">
        <f>(CD7/CD27)*100</f>
        <v>0.08795074758135445</v>
      </c>
      <c r="CE67" s="11">
        <f>(CE7/CE27)*100</f>
        <v>0.12763241863433314</v>
      </c>
      <c r="CF67" s="12">
        <f>(CF7/CF27)*100</f>
        <v>0.04597947782639682</v>
      </c>
    </row>
    <row r="68" spans="44:84" ht="15">
      <c r="AR68" s="3" t="s">
        <v>256</v>
      </c>
      <c r="AS68" s="139">
        <f t="shared" si="138"/>
        <v>6.748466257668712</v>
      </c>
      <c r="AT68" s="139">
        <f t="shared" si="139"/>
        <v>44.171779141104295</v>
      </c>
      <c r="AU68" s="139">
        <f t="shared" si="140"/>
        <v>1.8404907975460123</v>
      </c>
      <c r="AV68" s="139">
        <f t="shared" si="141"/>
        <v>0.6134969325153374</v>
      </c>
      <c r="AW68" s="139">
        <f t="shared" si="142"/>
        <v>0</v>
      </c>
      <c r="AX68" s="139">
        <f t="shared" si="143"/>
        <v>1.8404907975460123</v>
      </c>
      <c r="AY68" s="139">
        <f t="shared" si="144"/>
        <v>0</v>
      </c>
      <c r="AZ68" s="139">
        <f t="shared" si="145"/>
        <v>3.6809815950920246</v>
      </c>
      <c r="BA68" s="139">
        <f t="shared" si="146"/>
        <v>0</v>
      </c>
      <c r="BB68" s="139">
        <f t="shared" si="147"/>
        <v>1.2269938650306749</v>
      </c>
      <c r="BC68" s="139">
        <f t="shared" si="148"/>
        <v>17.791411042944784</v>
      </c>
      <c r="BD68" s="139">
        <f t="shared" si="149"/>
        <v>1.2269938650306749</v>
      </c>
      <c r="BE68" s="139">
        <f t="shared" si="150"/>
        <v>20.858895705521473</v>
      </c>
      <c r="BF68" s="139">
        <f t="shared" si="151"/>
        <v>0</v>
      </c>
      <c r="BG68" s="64">
        <f t="shared" si="152"/>
        <v>100.00000000000001</v>
      </c>
      <c r="BI68" s="3" t="s">
        <v>257</v>
      </c>
      <c r="BJ68" s="191">
        <f>(BJ8/BJ27)*100</f>
        <v>17.98771779491574</v>
      </c>
      <c r="BK68" s="191">
        <f>(BK8/BK27)*100</f>
        <v>15.747516989022477</v>
      </c>
      <c r="BL68" s="191">
        <f aca="true" t="shared" si="155" ref="BL68:BT68">(BL8/BL27)*100</f>
        <v>14.336801040312094</v>
      </c>
      <c r="BM68" s="191">
        <f t="shared" si="155"/>
        <v>13.566616766467066</v>
      </c>
      <c r="BN68" s="191">
        <f t="shared" si="155"/>
        <v>12.039550213260954</v>
      </c>
      <c r="BO68" s="191">
        <f t="shared" si="155"/>
        <v>10.722547285344945</v>
      </c>
      <c r="BP68" s="191">
        <f t="shared" si="155"/>
        <v>9.534467323187108</v>
      </c>
      <c r="BQ68" s="191">
        <f t="shared" si="155"/>
        <v>10.143540669856458</v>
      </c>
      <c r="BR68" s="191">
        <f t="shared" si="155"/>
        <v>8.35</v>
      </c>
      <c r="BS68" s="191">
        <f t="shared" si="155"/>
        <v>9.375</v>
      </c>
      <c r="BT68" s="195">
        <f t="shared" si="155"/>
        <v>13.988868274582561</v>
      </c>
      <c r="BV68" s="3" t="s">
        <v>257</v>
      </c>
      <c r="BW68" s="139">
        <f t="shared" si="135"/>
        <v>51.45985401459854</v>
      </c>
      <c r="BX68" s="139">
        <f t="shared" si="136"/>
        <v>48.54014598540146</v>
      </c>
      <c r="BY68" s="64">
        <f t="shared" si="137"/>
        <v>100</v>
      </c>
      <c r="CA68" s="3" t="s">
        <v>257</v>
      </c>
      <c r="CB68" s="43">
        <f>(CB8/CB27)*100</f>
        <v>11.620559353949979</v>
      </c>
      <c r="CC68" s="43">
        <f>(CC8/CC27)*100</f>
        <v>19.72277313098215</v>
      </c>
      <c r="CD68" s="43">
        <f>(CD8/CD27)*100</f>
        <v>19.114629141014365</v>
      </c>
      <c r="CE68" s="43">
        <f>(CE8/CE27)*100</f>
        <v>19.91065730695597</v>
      </c>
      <c r="CF68" s="44">
        <f>(CF8/CF27)*100</f>
        <v>14.796195964534494</v>
      </c>
    </row>
    <row r="69" spans="44:84" ht="15">
      <c r="AR69" s="3" t="s">
        <v>257</v>
      </c>
      <c r="AS69" s="139">
        <f t="shared" si="138"/>
        <v>7.632738719832109</v>
      </c>
      <c r="AT69" s="139">
        <f t="shared" si="139"/>
        <v>4.310598111227702</v>
      </c>
      <c r="AU69" s="139">
        <f t="shared" si="140"/>
        <v>0.465897166841553</v>
      </c>
      <c r="AV69" s="139">
        <f t="shared" si="141"/>
        <v>0.023084994753410283</v>
      </c>
      <c r="AW69" s="139">
        <f t="shared" si="142"/>
        <v>0.0062959076600209865</v>
      </c>
      <c r="AX69" s="139">
        <f t="shared" si="143"/>
        <v>0.02938090241343127</v>
      </c>
      <c r="AY69" s="139">
        <f t="shared" si="144"/>
        <v>0.004197271773347324</v>
      </c>
      <c r="AZ69" s="139">
        <f t="shared" si="145"/>
        <v>0.012591815320041973</v>
      </c>
      <c r="BA69" s="139">
        <f t="shared" si="146"/>
        <v>0</v>
      </c>
      <c r="BB69" s="139">
        <f t="shared" si="147"/>
        <v>0.05456453305351522</v>
      </c>
      <c r="BC69" s="139">
        <f t="shared" si="148"/>
        <v>0.27492130115424973</v>
      </c>
      <c r="BD69" s="139">
        <f t="shared" si="149"/>
        <v>0.09233997901364113</v>
      </c>
      <c r="BE69" s="139">
        <f t="shared" si="150"/>
        <v>81.37250786988459</v>
      </c>
      <c r="BF69" s="139">
        <f t="shared" si="151"/>
        <v>5.720881427072403</v>
      </c>
      <c r="BG69" s="64">
        <f t="shared" si="152"/>
        <v>100</v>
      </c>
      <c r="BI69" s="67" t="s">
        <v>258</v>
      </c>
      <c r="BJ69" s="121">
        <f>(BJ9/BJ27)*100</f>
        <v>3.4275921165381322</v>
      </c>
      <c r="BK69" s="121">
        <f>(BK9/BK27)*100</f>
        <v>3.5938316779926813</v>
      </c>
      <c r="BL69" s="121">
        <f aca="true" t="shared" si="156" ref="BL69:BT69">(BL9/BL27)*100</f>
        <v>3.82531426094495</v>
      </c>
      <c r="BM69" s="121">
        <f t="shared" si="156"/>
        <v>3.9483532934131738</v>
      </c>
      <c r="BN69" s="121">
        <f t="shared" si="156"/>
        <v>3.5091120589375726</v>
      </c>
      <c r="BO69" s="121">
        <f t="shared" si="156"/>
        <v>3.7692203020819157</v>
      </c>
      <c r="BP69" s="121">
        <f t="shared" si="156"/>
        <v>3.715308863025962</v>
      </c>
      <c r="BQ69" s="121">
        <f t="shared" si="156"/>
        <v>2.8229665071770333</v>
      </c>
      <c r="BR69" s="121">
        <f t="shared" si="156"/>
        <v>3.15</v>
      </c>
      <c r="BS69" s="121">
        <f t="shared" si="156"/>
        <v>3.3854166666666665</v>
      </c>
      <c r="BT69" s="163">
        <f t="shared" si="156"/>
        <v>3.593957063344819</v>
      </c>
      <c r="BV69" s="67" t="s">
        <v>258</v>
      </c>
      <c r="BW69" s="179">
        <f t="shared" si="135"/>
        <v>48.98528272656855</v>
      </c>
      <c r="BX69" s="179">
        <f t="shared" si="136"/>
        <v>51.01471727343145</v>
      </c>
      <c r="BY69" s="87">
        <f t="shared" si="137"/>
        <v>100</v>
      </c>
      <c r="CA69" s="67" t="s">
        <v>258</v>
      </c>
      <c r="CB69" s="76">
        <f>(CB9/CB27)*100</f>
        <v>2.9180936974736817</v>
      </c>
      <c r="CC69" s="76">
        <f>(CC9/CC27)*100</f>
        <v>3.572044494265758</v>
      </c>
      <c r="CD69" s="76">
        <f>(CD9/CD27)*100</f>
        <v>3.1369099970683085</v>
      </c>
      <c r="CE69" s="76">
        <f>(CE9/CE27)*100</f>
        <v>5.424377791959158</v>
      </c>
      <c r="CF69" s="79">
        <f>(CF9/CF27)*100</f>
        <v>3.1863778133692997</v>
      </c>
    </row>
    <row r="70" spans="25:84" ht="15">
      <c r="Y70" s="159"/>
      <c r="AR70" s="67" t="s">
        <v>258</v>
      </c>
      <c r="AS70" s="179">
        <f t="shared" si="138"/>
        <v>34.62371235483236</v>
      </c>
      <c r="AT70" s="179">
        <f t="shared" si="139"/>
        <v>37.11698707433895</v>
      </c>
      <c r="AU70" s="179">
        <f t="shared" si="140"/>
        <v>5.81326684600748</v>
      </c>
      <c r="AV70" s="179">
        <f t="shared" si="141"/>
        <v>0.28869496752181617</v>
      </c>
      <c r="AW70" s="179">
        <f t="shared" si="142"/>
        <v>0.03936749557115675</v>
      </c>
      <c r="AX70" s="179">
        <f t="shared" si="143"/>
        <v>0.32150121383111346</v>
      </c>
      <c r="AY70" s="179">
        <f t="shared" si="144"/>
        <v>0.032806246309297286</v>
      </c>
      <c r="AZ70" s="179">
        <f t="shared" si="145"/>
        <v>0.045928744833016205</v>
      </c>
      <c r="BA70" s="179">
        <f t="shared" si="146"/>
        <v>0.006561249261859458</v>
      </c>
      <c r="BB70" s="179">
        <f t="shared" si="147"/>
        <v>0.2558887212125189</v>
      </c>
      <c r="BC70" s="179">
        <f t="shared" si="148"/>
        <v>0.5445836887343349</v>
      </c>
      <c r="BD70" s="179">
        <f t="shared" si="149"/>
        <v>0.17715373007020535</v>
      </c>
      <c r="BE70" s="179">
        <f t="shared" si="150"/>
        <v>17.354504297618266</v>
      </c>
      <c r="BF70" s="179">
        <f t="shared" si="151"/>
        <v>3.3790433698576203</v>
      </c>
      <c r="BG70" s="87">
        <f t="shared" si="152"/>
        <v>100</v>
      </c>
      <c r="BI70" s="3" t="s">
        <v>259</v>
      </c>
      <c r="BJ70" s="191">
        <f>(BJ10/BJ27)*100</f>
        <v>1.2210796915167095</v>
      </c>
      <c r="BK70" s="191">
        <f>(BK10/BK27)*100</f>
        <v>1.3983272347098796</v>
      </c>
      <c r="BL70" s="191">
        <f aca="true" t="shared" si="157" ref="BL70:BT70">(BL10/BL27)*100</f>
        <v>1.506285218899003</v>
      </c>
      <c r="BM70" s="191">
        <f t="shared" si="157"/>
        <v>1.5905688622754492</v>
      </c>
      <c r="BN70" s="191">
        <f t="shared" si="157"/>
        <v>1.609150833656456</v>
      </c>
      <c r="BO70" s="191">
        <f t="shared" si="157"/>
        <v>1.3879439379507414</v>
      </c>
      <c r="BP70" s="191">
        <f t="shared" si="157"/>
        <v>1.611459265890779</v>
      </c>
      <c r="BQ70" s="191">
        <f t="shared" si="157"/>
        <v>0.9569377990430622</v>
      </c>
      <c r="BR70" s="191">
        <f t="shared" si="157"/>
        <v>1.4000000000000001</v>
      </c>
      <c r="BS70" s="191">
        <f t="shared" si="157"/>
        <v>1.4322916666666665</v>
      </c>
      <c r="BT70" s="195">
        <f t="shared" si="157"/>
        <v>1.401183850163442</v>
      </c>
      <c r="BV70" s="3" t="s">
        <v>259</v>
      </c>
      <c r="BW70" s="139">
        <f t="shared" si="135"/>
        <v>47.84007352941176</v>
      </c>
      <c r="BX70" s="139">
        <f t="shared" si="136"/>
        <v>52.15992647058824</v>
      </c>
      <c r="BY70" s="64">
        <f t="shared" si="137"/>
        <v>100</v>
      </c>
      <c r="CA70" s="3" t="s">
        <v>259</v>
      </c>
      <c r="CB70" s="11">
        <f>(CB10/CB27)*100</f>
        <v>0.8884451577843214</v>
      </c>
      <c r="CC70" s="11">
        <f>(CC10/CC27)*100</f>
        <v>1.0347503664740882</v>
      </c>
      <c r="CD70" s="11">
        <f>(CD10/CD27)*100</f>
        <v>0.8795074758135445</v>
      </c>
      <c r="CE70" s="11">
        <f>(CE10/CE27)*100</f>
        <v>1.2125079770261646</v>
      </c>
      <c r="CF70" s="12">
        <f>(CF10/CF27)*100</f>
        <v>0.9441119447020146</v>
      </c>
    </row>
    <row r="71" spans="25:84" ht="15">
      <c r="Y71" s="169"/>
      <c r="AR71" s="3" t="s">
        <v>259</v>
      </c>
      <c r="AS71" s="139">
        <f t="shared" si="138"/>
        <v>28.759155536406723</v>
      </c>
      <c r="AT71" s="139">
        <f t="shared" si="139"/>
        <v>56.010340370529946</v>
      </c>
      <c r="AU71" s="139">
        <f t="shared" si="140"/>
        <v>7.281344248168893</v>
      </c>
      <c r="AV71" s="139">
        <f t="shared" si="141"/>
        <v>0.23696682464454977</v>
      </c>
      <c r="AW71" s="139">
        <f t="shared" si="142"/>
        <v>0.021542438604049977</v>
      </c>
      <c r="AX71" s="139">
        <f t="shared" si="143"/>
        <v>0.08616975441619991</v>
      </c>
      <c r="AY71" s="139">
        <f t="shared" si="144"/>
        <v>0.06462731581214994</v>
      </c>
      <c r="AZ71" s="139">
        <f t="shared" si="145"/>
        <v>0.021542438604049977</v>
      </c>
      <c r="BA71" s="139">
        <f t="shared" si="146"/>
        <v>0</v>
      </c>
      <c r="BB71" s="139">
        <f t="shared" si="147"/>
        <v>0.3231365790607497</v>
      </c>
      <c r="BC71" s="139">
        <f t="shared" si="148"/>
        <v>0.1938819474364498</v>
      </c>
      <c r="BD71" s="139">
        <f t="shared" si="149"/>
        <v>0.25850926324859974</v>
      </c>
      <c r="BE71" s="139">
        <f t="shared" si="150"/>
        <v>5.687203791469194</v>
      </c>
      <c r="BF71" s="139">
        <f t="shared" si="151"/>
        <v>1.0555794915984489</v>
      </c>
      <c r="BG71" s="64">
        <f t="shared" si="152"/>
        <v>100</v>
      </c>
      <c r="BI71" s="3" t="s">
        <v>260</v>
      </c>
      <c r="BJ71" s="191">
        <f>(BJ11/BJ27)*100</f>
        <v>0.5641245358469009</v>
      </c>
      <c r="BK71" s="191">
        <f>(BK11/BK27)*100</f>
        <v>0.6664924202822792</v>
      </c>
      <c r="BL71" s="191">
        <f aca="true" t="shared" si="158" ref="BL71:BT71">(BL11/BL27)*100</f>
        <v>0.8669267446900737</v>
      </c>
      <c r="BM71" s="191">
        <f t="shared" si="158"/>
        <v>0.8794910179640718</v>
      </c>
      <c r="BN71" s="191">
        <f t="shared" si="158"/>
        <v>0.5816207832493214</v>
      </c>
      <c r="BO71" s="191">
        <f t="shared" si="158"/>
        <v>0.6395427949380867</v>
      </c>
      <c r="BP71" s="191">
        <f t="shared" si="158"/>
        <v>0.4923903312444047</v>
      </c>
      <c r="BQ71" s="191">
        <f t="shared" si="158"/>
        <v>0.5741626794258373</v>
      </c>
      <c r="BR71" s="191">
        <f t="shared" si="158"/>
        <v>0.3</v>
      </c>
      <c r="BS71" s="191">
        <f t="shared" si="158"/>
        <v>0.5208333333333333</v>
      </c>
      <c r="BT71" s="195">
        <f t="shared" si="158"/>
        <v>0.655534941249227</v>
      </c>
      <c r="BV71" s="3" t="s">
        <v>260</v>
      </c>
      <c r="BW71" s="139">
        <f t="shared" si="135"/>
        <v>48.977395048439185</v>
      </c>
      <c r="BX71" s="139">
        <f t="shared" si="136"/>
        <v>51.022604951560815</v>
      </c>
      <c r="BY71" s="64">
        <f t="shared" si="137"/>
        <v>100</v>
      </c>
      <c r="CA71" s="3" t="s">
        <v>260</v>
      </c>
      <c r="CB71" s="11">
        <f>(CB11/CB27)*100</f>
        <v>0.40188557635194055</v>
      </c>
      <c r="CC71" s="11">
        <f>(CC11/CC27)*100</f>
        <v>0.4979736138656549</v>
      </c>
      <c r="CD71" s="11">
        <f>(CD11/CD27)*100</f>
        <v>0.6742890647903841</v>
      </c>
      <c r="CE71" s="11">
        <f>(CE11/CE27)*100</f>
        <v>1.0210593490746651</v>
      </c>
      <c r="CF71" s="12">
        <f>(CF11/CF27)*100</f>
        <v>0.45059888269868886</v>
      </c>
    </row>
    <row r="72" spans="25:84" ht="15">
      <c r="Y72" s="168"/>
      <c r="AR72" s="3" t="s">
        <v>260</v>
      </c>
      <c r="AS72" s="139">
        <f t="shared" si="138"/>
        <v>35.44739429695182</v>
      </c>
      <c r="AT72" s="139">
        <f t="shared" si="139"/>
        <v>31.465093411996065</v>
      </c>
      <c r="AU72" s="139">
        <f t="shared" si="140"/>
        <v>4.768928220255654</v>
      </c>
      <c r="AV72" s="139">
        <f t="shared" si="141"/>
        <v>0.4424778761061947</v>
      </c>
      <c r="AW72" s="139">
        <f t="shared" si="142"/>
        <v>0.049164208456243856</v>
      </c>
      <c r="AX72" s="139">
        <f t="shared" si="143"/>
        <v>0.09832841691248771</v>
      </c>
      <c r="AY72" s="139">
        <f t="shared" si="144"/>
        <v>0</v>
      </c>
      <c r="AZ72" s="139">
        <f t="shared" si="145"/>
        <v>0.049164208456243856</v>
      </c>
      <c r="BA72" s="139">
        <f t="shared" si="146"/>
        <v>0</v>
      </c>
      <c r="BB72" s="139">
        <f t="shared" si="147"/>
        <v>0.09832841691248771</v>
      </c>
      <c r="BC72" s="139">
        <f t="shared" si="148"/>
        <v>0.7374631268436578</v>
      </c>
      <c r="BD72" s="139">
        <f t="shared" si="149"/>
        <v>0.09832841691248771</v>
      </c>
      <c r="BE72" s="139">
        <f t="shared" si="150"/>
        <v>24.532940019665684</v>
      </c>
      <c r="BF72" s="139">
        <f t="shared" si="151"/>
        <v>2.2123893805309733</v>
      </c>
      <c r="BG72" s="64">
        <f t="shared" si="152"/>
        <v>100.00000000000004</v>
      </c>
      <c r="BI72" s="3" t="s">
        <v>261</v>
      </c>
      <c r="BJ72" s="191">
        <f>(BJ12/BJ27)*100</f>
        <v>0.6498143387603542</v>
      </c>
      <c r="BK72" s="191">
        <f>(BK12/BK27)*100</f>
        <v>0.6403554626241506</v>
      </c>
      <c r="BL72" s="191">
        <f aca="true" t="shared" si="159" ref="BL72:BT72">(BL12/BL27)*100</f>
        <v>0.45513654096228867</v>
      </c>
      <c r="BM72" s="191">
        <f t="shared" si="159"/>
        <v>0.3181137724550898</v>
      </c>
      <c r="BN72" s="191">
        <f t="shared" si="159"/>
        <v>0.3683598293912369</v>
      </c>
      <c r="BO72" s="191">
        <f t="shared" si="159"/>
        <v>0.6803646754660498</v>
      </c>
      <c r="BP72" s="191">
        <f t="shared" si="159"/>
        <v>0.6266786034019696</v>
      </c>
      <c r="BQ72" s="191">
        <f t="shared" si="159"/>
        <v>0.23923444976076555</v>
      </c>
      <c r="BR72" s="191">
        <f t="shared" si="159"/>
        <v>0.6</v>
      </c>
      <c r="BS72" s="191">
        <f t="shared" si="159"/>
        <v>0.4557291666666667</v>
      </c>
      <c r="BT72" s="195">
        <f t="shared" si="159"/>
        <v>0.5406838059899284</v>
      </c>
      <c r="BV72" s="3" t="s">
        <v>261</v>
      </c>
      <c r="BW72" s="139">
        <f t="shared" si="135"/>
        <v>49.40736119775421</v>
      </c>
      <c r="BX72" s="139">
        <f t="shared" si="136"/>
        <v>50.592638802245794</v>
      </c>
      <c r="BY72" s="64">
        <f t="shared" si="137"/>
        <v>100</v>
      </c>
      <c r="CA72" s="3" t="s">
        <v>261</v>
      </c>
      <c r="CB72" s="11">
        <f>(CB12/CB27)*100</f>
        <v>0.7342626410706838</v>
      </c>
      <c r="CC72" s="11">
        <f>(CC12/CC27)*100</f>
        <v>0.8687591618522031</v>
      </c>
      <c r="CD72" s="11">
        <f>(CD12/CD27)*100</f>
        <v>0.4983875696276752</v>
      </c>
      <c r="CE72" s="11">
        <f>(CE12/CE27)*100</f>
        <v>0.9572431397574984</v>
      </c>
      <c r="CF72" s="12">
        <f>(CF12/CF27)*100</f>
        <v>0.7785858245269861</v>
      </c>
    </row>
    <row r="73" spans="25:84" ht="15">
      <c r="Y73" s="168"/>
      <c r="AR73" s="3" t="s">
        <v>261</v>
      </c>
      <c r="AS73" s="139">
        <f t="shared" si="138"/>
        <v>40.41677386158992</v>
      </c>
      <c r="AT73" s="139">
        <f t="shared" si="139"/>
        <v>31.695394906097246</v>
      </c>
      <c r="AU73" s="139">
        <f t="shared" si="140"/>
        <v>6.174427579109853</v>
      </c>
      <c r="AV73" s="139">
        <f t="shared" si="141"/>
        <v>0.05145356315924878</v>
      </c>
      <c r="AW73" s="139">
        <f t="shared" si="142"/>
        <v>0.05145356315924878</v>
      </c>
      <c r="AX73" s="139">
        <f t="shared" si="143"/>
        <v>0.5402624131721122</v>
      </c>
      <c r="AY73" s="139">
        <f t="shared" si="144"/>
        <v>0</v>
      </c>
      <c r="AZ73" s="139">
        <f t="shared" si="145"/>
        <v>0.02572678157962439</v>
      </c>
      <c r="BA73" s="139">
        <f t="shared" si="146"/>
        <v>0.02572678157962439</v>
      </c>
      <c r="BB73" s="139">
        <f t="shared" si="147"/>
        <v>0.33444816053511706</v>
      </c>
      <c r="BC73" s="139">
        <f t="shared" si="148"/>
        <v>0.797530228968356</v>
      </c>
      <c r="BD73" s="139">
        <f t="shared" si="149"/>
        <v>0.07718034473887317</v>
      </c>
      <c r="BE73" s="139">
        <f t="shared" si="150"/>
        <v>15.976331360946746</v>
      </c>
      <c r="BF73" s="139">
        <f t="shared" si="151"/>
        <v>3.8332904553640343</v>
      </c>
      <c r="BG73" s="64">
        <f t="shared" si="152"/>
        <v>99.99999999999999</v>
      </c>
      <c r="BI73" s="3" t="s">
        <v>262</v>
      </c>
      <c r="BJ73" s="191">
        <f>(BJ13/BJ27)*100</f>
        <v>0.9925735504141674</v>
      </c>
      <c r="BK73" s="191">
        <f>(BK13/BK27)*100</f>
        <v>0.8886565603763722</v>
      </c>
      <c r="BL73" s="191">
        <f aca="true" t="shared" si="160" ref="BL73:BT73">(BL13/BL27)*100</f>
        <v>0.9969657563935848</v>
      </c>
      <c r="BM73" s="191">
        <f t="shared" si="160"/>
        <v>1.1601796407185627</v>
      </c>
      <c r="BN73" s="191">
        <f t="shared" si="160"/>
        <v>0.9499806126405583</v>
      </c>
      <c r="BO73" s="191">
        <f t="shared" si="160"/>
        <v>1.0613688937270378</v>
      </c>
      <c r="BP73" s="191">
        <f t="shared" si="160"/>
        <v>0.9847806624888094</v>
      </c>
      <c r="BQ73" s="191">
        <f t="shared" si="160"/>
        <v>1.0526315789473684</v>
      </c>
      <c r="BR73" s="191">
        <f t="shared" si="160"/>
        <v>0.8500000000000001</v>
      </c>
      <c r="BS73" s="191">
        <f t="shared" si="160"/>
        <v>0.9765625</v>
      </c>
      <c r="BT73" s="195">
        <f t="shared" si="160"/>
        <v>0.9965544659422211</v>
      </c>
      <c r="BV73" s="3" t="s">
        <v>262</v>
      </c>
      <c r="BW73" s="139">
        <f t="shared" si="135"/>
        <v>50.028620492272466</v>
      </c>
      <c r="BX73" s="139">
        <f t="shared" si="136"/>
        <v>49.971379507727534</v>
      </c>
      <c r="BY73" s="64">
        <f t="shared" si="137"/>
        <v>100</v>
      </c>
      <c r="CA73" s="3" t="s">
        <v>262</v>
      </c>
      <c r="CB73" s="11">
        <f>(CB13/CB27)*100</f>
        <v>0.8935003222667357</v>
      </c>
      <c r="CC73" s="11">
        <f>(CC13/CC27)*100</f>
        <v>1.170561352073812</v>
      </c>
      <c r="CD73" s="11">
        <f>(CD13/CD27)*100</f>
        <v>1.0847258868367047</v>
      </c>
      <c r="CE73" s="11">
        <f>(CE13/CE27)*100</f>
        <v>2.2335673261008293</v>
      </c>
      <c r="CF73" s="12">
        <f>(CF13/CF27)*100</f>
        <v>1.01308116144161</v>
      </c>
    </row>
    <row r="74" spans="25:84" ht="15">
      <c r="Y74" s="168"/>
      <c r="AR74" s="3" t="s">
        <v>262</v>
      </c>
      <c r="AS74" s="139">
        <f t="shared" si="138"/>
        <v>35.27148353997435</v>
      </c>
      <c r="AT74" s="139">
        <f t="shared" si="139"/>
        <v>25.33133817870885</v>
      </c>
      <c r="AU74" s="139">
        <f t="shared" si="140"/>
        <v>4.510474561778538</v>
      </c>
      <c r="AV74" s="139">
        <f t="shared" si="141"/>
        <v>0.470286447199658</v>
      </c>
      <c r="AW74" s="139">
        <f t="shared" si="142"/>
        <v>0.04275331338178709</v>
      </c>
      <c r="AX74" s="139">
        <f t="shared" si="143"/>
        <v>0.470286447199658</v>
      </c>
      <c r="AY74" s="139">
        <f t="shared" si="144"/>
        <v>0.04275331338178709</v>
      </c>
      <c r="AZ74" s="139">
        <f t="shared" si="145"/>
        <v>0.08550662676357418</v>
      </c>
      <c r="BA74" s="139">
        <f t="shared" si="146"/>
        <v>0</v>
      </c>
      <c r="BB74" s="139">
        <f t="shared" si="147"/>
        <v>0.19238991021804192</v>
      </c>
      <c r="BC74" s="139">
        <f t="shared" si="148"/>
        <v>0.5985463873450192</v>
      </c>
      <c r="BD74" s="139">
        <f t="shared" si="149"/>
        <v>0.21376656690893547</v>
      </c>
      <c r="BE74" s="139">
        <f t="shared" si="150"/>
        <v>26.95596408721676</v>
      </c>
      <c r="BF74" s="139">
        <f t="shared" si="151"/>
        <v>5.814450619923044</v>
      </c>
      <c r="BG74" s="64">
        <f t="shared" si="152"/>
        <v>99.99999999999999</v>
      </c>
      <c r="BI74" s="67" t="s">
        <v>133</v>
      </c>
      <c r="BJ74" s="121">
        <f>(BJ14/BJ27)*100</f>
        <v>11.368180519851471</v>
      </c>
      <c r="BK74" s="121">
        <f>(BK14/BK27)*100</f>
        <v>13.094615786722425</v>
      </c>
      <c r="BL74" s="121">
        <f aca="true" t="shared" si="161" ref="BL74:BT74">(BL14/BL27)*100</f>
        <v>13.76246207195492</v>
      </c>
      <c r="BM74" s="121">
        <f t="shared" si="161"/>
        <v>14.558383233532934</v>
      </c>
      <c r="BN74" s="121">
        <f t="shared" si="161"/>
        <v>14.540519581233035</v>
      </c>
      <c r="BO74" s="121">
        <f t="shared" si="161"/>
        <v>15.770853177303035</v>
      </c>
      <c r="BP74" s="121">
        <f t="shared" si="161"/>
        <v>16.92032229185318</v>
      </c>
      <c r="BQ74" s="121">
        <f t="shared" si="161"/>
        <v>16.842105263157894</v>
      </c>
      <c r="BR74" s="121">
        <f t="shared" si="161"/>
        <v>18.5</v>
      </c>
      <c r="BS74" s="121">
        <f t="shared" si="161"/>
        <v>19.140625</v>
      </c>
      <c r="BT74" s="163">
        <f t="shared" si="161"/>
        <v>14.038342609771181</v>
      </c>
      <c r="BV74" s="67" t="s">
        <v>133</v>
      </c>
      <c r="BW74" s="179">
        <f t="shared" si="135"/>
        <v>50.77395063450007</v>
      </c>
      <c r="BX74" s="179">
        <f t="shared" si="136"/>
        <v>49.22604936549993</v>
      </c>
      <c r="BY74" s="87">
        <f t="shared" si="137"/>
        <v>100</v>
      </c>
      <c r="CA74" s="67" t="s">
        <v>133</v>
      </c>
      <c r="CB74" s="76">
        <f>(CB14/CB27)*100</f>
        <v>6.260821211470169</v>
      </c>
      <c r="CC74" s="76">
        <f>(CC14/CC27)*100</f>
        <v>10.774338190911442</v>
      </c>
      <c r="CD74" s="76">
        <f>(CD14/CD27)*100</f>
        <v>26.912928759894463</v>
      </c>
      <c r="CE74" s="76">
        <f>(CE14/CE27)*100</f>
        <v>26.292278238672623</v>
      </c>
      <c r="CF74" s="79">
        <f>(CF14/CF27)*100</f>
        <v>8.645674480623482</v>
      </c>
    </row>
    <row r="75" spans="25:84" ht="15">
      <c r="Y75" s="168"/>
      <c r="AR75" s="67" t="s">
        <v>133</v>
      </c>
      <c r="AS75" s="179">
        <f t="shared" si="138"/>
        <v>50.89387485751995</v>
      </c>
      <c r="AT75" s="179">
        <f t="shared" si="139"/>
        <v>9.181714559961605</v>
      </c>
      <c r="AU75" s="179">
        <f t="shared" si="140"/>
        <v>2.297678325034495</v>
      </c>
      <c r="AV75" s="179">
        <f t="shared" si="141"/>
        <v>0.04199412082308477</v>
      </c>
      <c r="AW75" s="179">
        <f t="shared" si="142"/>
        <v>0.02699622052912592</v>
      </c>
      <c r="AX75" s="179">
        <f t="shared" si="143"/>
        <v>0.09298698182254483</v>
      </c>
      <c r="AY75" s="179">
        <f t="shared" si="144"/>
        <v>0.02699622052912592</v>
      </c>
      <c r="AZ75" s="179">
        <f t="shared" si="145"/>
        <v>0.044993700881876535</v>
      </c>
      <c r="BA75" s="179">
        <f t="shared" si="146"/>
        <v>0.011998320235167077</v>
      </c>
      <c r="BB75" s="179">
        <f t="shared" si="147"/>
        <v>0.12598236246925432</v>
      </c>
      <c r="BC75" s="179">
        <f t="shared" si="148"/>
        <v>0.11698362229287901</v>
      </c>
      <c r="BD75" s="179">
        <f t="shared" si="149"/>
        <v>0.014997900293958847</v>
      </c>
      <c r="BE75" s="179">
        <f t="shared" si="150"/>
        <v>33.832263483112364</v>
      </c>
      <c r="BF75" s="179">
        <f t="shared" si="151"/>
        <v>3.2905393244945706</v>
      </c>
      <c r="BG75" s="87">
        <f t="shared" si="152"/>
        <v>100</v>
      </c>
      <c r="BI75" s="3" t="s">
        <v>263</v>
      </c>
      <c r="BJ75" s="191">
        <f>(BJ15/BJ27)*100</f>
        <v>2.406455298486147</v>
      </c>
      <c r="BK75" s="191">
        <f>(BK15/BK27)*100</f>
        <v>2.1301620491374806</v>
      </c>
      <c r="BL75" s="191">
        <f aca="true" t="shared" si="162" ref="BL75:BT75">(BL15/BL27)*100</f>
        <v>2.221499783268314</v>
      </c>
      <c r="BM75" s="191">
        <f t="shared" si="162"/>
        <v>2.1519461077844313</v>
      </c>
      <c r="BN75" s="191">
        <f t="shared" si="162"/>
        <v>2.44280728964715</v>
      </c>
      <c r="BO75" s="191">
        <f t="shared" si="162"/>
        <v>2.4084909511498163</v>
      </c>
      <c r="BP75" s="191">
        <f t="shared" si="162"/>
        <v>2.864816472694718</v>
      </c>
      <c r="BQ75" s="191">
        <f t="shared" si="162"/>
        <v>3.4928229665071773</v>
      </c>
      <c r="BR75" s="191">
        <f t="shared" si="162"/>
        <v>2.9000000000000004</v>
      </c>
      <c r="BS75" s="191">
        <f t="shared" si="162"/>
        <v>3.059895833333333</v>
      </c>
      <c r="BT75" s="195">
        <f t="shared" si="162"/>
        <v>2.411873840445269</v>
      </c>
      <c r="BV75" s="3" t="s">
        <v>263</v>
      </c>
      <c r="BW75" s="139">
        <f t="shared" si="135"/>
        <v>49.95296331138288</v>
      </c>
      <c r="BX75" s="139">
        <f t="shared" si="136"/>
        <v>50.04703668861712</v>
      </c>
      <c r="BY75" s="64">
        <f t="shared" si="137"/>
        <v>100</v>
      </c>
      <c r="CA75" s="3" t="s">
        <v>263</v>
      </c>
      <c r="CB75" s="43">
        <f>(CB15/CB27)*100</f>
        <v>2.235646492347745</v>
      </c>
      <c r="CC75" s="43">
        <f>(CC15/CC27)*100</f>
        <v>2.800293179270501</v>
      </c>
      <c r="CD75" s="43">
        <f>(CD15/CD27)*100</f>
        <v>4.192318968044562</v>
      </c>
      <c r="CE75" s="43">
        <f>(CE15/CE27)*100</f>
        <v>4.530950861518826</v>
      </c>
      <c r="CF75" s="44">
        <f>(CF15/CF27)*100</f>
        <v>2.5150774371039057</v>
      </c>
    </row>
    <row r="76" spans="25:84" ht="15">
      <c r="Y76" s="168"/>
      <c r="AR76" s="3" t="s">
        <v>263</v>
      </c>
      <c r="AS76" s="139">
        <f t="shared" si="138"/>
        <v>58.747975005785705</v>
      </c>
      <c r="AT76" s="139">
        <f t="shared" si="139"/>
        <v>11.085396898866003</v>
      </c>
      <c r="AU76" s="139">
        <f t="shared" si="140"/>
        <v>3.1474195788012036</v>
      </c>
      <c r="AV76" s="139">
        <f t="shared" si="141"/>
        <v>0.06942837306179125</v>
      </c>
      <c r="AW76" s="139">
        <f t="shared" si="142"/>
        <v>0.023142791020597086</v>
      </c>
      <c r="AX76" s="139">
        <f t="shared" si="143"/>
        <v>0.06942837306179125</v>
      </c>
      <c r="AY76" s="139">
        <f t="shared" si="144"/>
        <v>0.03471418653089563</v>
      </c>
      <c r="AZ76" s="139">
        <f t="shared" si="145"/>
        <v>0.08099976857208979</v>
      </c>
      <c r="BA76" s="139">
        <f t="shared" si="146"/>
        <v>0.011571395510298543</v>
      </c>
      <c r="BB76" s="139">
        <f t="shared" si="147"/>
        <v>0.1388567461235825</v>
      </c>
      <c r="BC76" s="139">
        <f t="shared" si="148"/>
        <v>0.057856977551492716</v>
      </c>
      <c r="BD76" s="139">
        <f t="shared" si="149"/>
        <v>0.023142791020597086</v>
      </c>
      <c r="BE76" s="139">
        <f t="shared" si="150"/>
        <v>24.35778754917843</v>
      </c>
      <c r="BF76" s="139">
        <f t="shared" si="151"/>
        <v>2.152279564915529</v>
      </c>
      <c r="BG76" s="64">
        <f t="shared" si="152"/>
        <v>100.00000000000003</v>
      </c>
      <c r="BI76" s="3" t="s">
        <v>264</v>
      </c>
      <c r="BJ76" s="191">
        <f>(BJ16/BJ27)*100</f>
        <v>4.334475864038846</v>
      </c>
      <c r="BK76" s="191">
        <f>(BK16/BK27)*100</f>
        <v>5.514898065865133</v>
      </c>
      <c r="BL76" s="191">
        <f aca="true" t="shared" si="163" ref="BL76:BT76">(BL16/BL27)*100</f>
        <v>5.862592110966623</v>
      </c>
      <c r="BM76" s="191">
        <f t="shared" si="163"/>
        <v>6.830089820359281</v>
      </c>
      <c r="BN76" s="191">
        <f t="shared" si="163"/>
        <v>6.514152772392399</v>
      </c>
      <c r="BO76" s="191">
        <f t="shared" si="163"/>
        <v>7.334331201524017</v>
      </c>
      <c r="BP76" s="191">
        <f t="shared" si="163"/>
        <v>7.341092211280214</v>
      </c>
      <c r="BQ76" s="191">
        <f t="shared" si="163"/>
        <v>6.9856459330143545</v>
      </c>
      <c r="BR76" s="191">
        <f t="shared" si="163"/>
        <v>8.5</v>
      </c>
      <c r="BS76" s="191">
        <f t="shared" si="163"/>
        <v>8.203125</v>
      </c>
      <c r="BT76" s="195">
        <f t="shared" si="163"/>
        <v>6.035868893011751</v>
      </c>
      <c r="BV76" s="3" t="s">
        <v>264</v>
      </c>
      <c r="BW76" s="139">
        <f t="shared" si="135"/>
        <v>51.429459291485394</v>
      </c>
      <c r="BX76" s="139">
        <f t="shared" si="136"/>
        <v>48.570540708514606</v>
      </c>
      <c r="BY76" s="64">
        <f t="shared" si="137"/>
        <v>100</v>
      </c>
      <c r="CA76" s="3" t="s">
        <v>264</v>
      </c>
      <c r="CB76" s="43">
        <f>(CB16/CB27)*100</f>
        <v>0.9579536694175187</v>
      </c>
      <c r="CC76" s="43">
        <f>(CC16/CC27)*100</f>
        <v>2.957661464171769</v>
      </c>
      <c r="CD76" s="43">
        <f>(CD16/CD27)*100</f>
        <v>12.45968924069188</v>
      </c>
      <c r="CE76" s="43">
        <f>(CE16/CE27)*100</f>
        <v>8.934269304403317</v>
      </c>
      <c r="CF76" s="44">
        <f>(CF16/CF27)*100</f>
        <v>2.065244879035657</v>
      </c>
    </row>
    <row r="77" spans="25:84" ht="15">
      <c r="Y77" s="168"/>
      <c r="AR77" s="3" t="s">
        <v>264</v>
      </c>
      <c r="AS77" s="139">
        <f t="shared" si="138"/>
        <v>51.646429306441654</v>
      </c>
      <c r="AT77" s="139">
        <f t="shared" si="139"/>
        <v>8.376209096521919</v>
      </c>
      <c r="AU77" s="139">
        <f t="shared" si="140"/>
        <v>2.171228647869932</v>
      </c>
      <c r="AV77" s="139">
        <f t="shared" si="141"/>
        <v>0.020580366330520683</v>
      </c>
      <c r="AW77" s="139">
        <f t="shared" si="142"/>
        <v>0</v>
      </c>
      <c r="AX77" s="139">
        <f t="shared" si="143"/>
        <v>0.08232146532208273</v>
      </c>
      <c r="AY77" s="139">
        <f t="shared" si="144"/>
        <v>0.041160732661041366</v>
      </c>
      <c r="AZ77" s="139">
        <f t="shared" si="145"/>
        <v>0</v>
      </c>
      <c r="BA77" s="139">
        <f t="shared" si="146"/>
        <v>0.010290183165260341</v>
      </c>
      <c r="BB77" s="139">
        <f t="shared" si="147"/>
        <v>0.07203128215682239</v>
      </c>
      <c r="BC77" s="139">
        <f t="shared" si="148"/>
        <v>0.15435274747890512</v>
      </c>
      <c r="BD77" s="139">
        <f t="shared" si="149"/>
        <v>0</v>
      </c>
      <c r="BE77" s="139">
        <f t="shared" si="150"/>
        <v>34.31776085614324</v>
      </c>
      <c r="BF77" s="139">
        <f t="shared" si="151"/>
        <v>3.107635315908623</v>
      </c>
      <c r="BG77" s="64">
        <f t="shared" si="152"/>
        <v>100</v>
      </c>
      <c r="BI77" s="3" t="s">
        <v>265</v>
      </c>
      <c r="BJ77" s="191">
        <f>(BJ17/BJ27)*100</f>
        <v>0.5569837189374465</v>
      </c>
      <c r="BK77" s="191">
        <f>(BK17/BK27)*100</f>
        <v>0.7187663355985363</v>
      </c>
      <c r="BL77" s="191">
        <f aca="true" t="shared" si="164" ref="BL77:BT77">(BL17/BL27)*100</f>
        <v>0.8560901603814477</v>
      </c>
      <c r="BM77" s="191">
        <f t="shared" si="164"/>
        <v>1.0104790419161676</v>
      </c>
      <c r="BN77" s="191">
        <f t="shared" si="164"/>
        <v>0.7754943776657619</v>
      </c>
      <c r="BO77" s="191">
        <f t="shared" si="164"/>
        <v>0.9797251326711116</v>
      </c>
      <c r="BP77" s="191">
        <f t="shared" si="164"/>
        <v>1.0743061772605194</v>
      </c>
      <c r="BQ77" s="191">
        <f t="shared" si="164"/>
        <v>1.4832535885167464</v>
      </c>
      <c r="BR77" s="191">
        <f t="shared" si="164"/>
        <v>0.8500000000000001</v>
      </c>
      <c r="BS77" s="191">
        <f t="shared" si="164"/>
        <v>1.3020833333333335</v>
      </c>
      <c r="BT77" s="195">
        <f t="shared" si="164"/>
        <v>0.8304620549518509</v>
      </c>
      <c r="BV77" s="3" t="s">
        <v>265</v>
      </c>
      <c r="BW77" s="139">
        <f t="shared" si="135"/>
        <v>49.523809523809526</v>
      </c>
      <c r="BX77" s="139">
        <f t="shared" si="136"/>
        <v>50.476190476190474</v>
      </c>
      <c r="BY77" s="64">
        <f t="shared" si="137"/>
        <v>100</v>
      </c>
      <c r="CA77" s="3" t="s">
        <v>265</v>
      </c>
      <c r="CB77" s="43">
        <f>(CB17/CB27)*100</f>
        <v>0.19715141481415951</v>
      </c>
      <c r="CC77" s="43">
        <f>(CC17/CC27)*100</f>
        <v>0.4483918254721049</v>
      </c>
      <c r="CD77" s="43">
        <f>(CD17/CD27)*100</f>
        <v>1.524479624743477</v>
      </c>
      <c r="CE77" s="43">
        <f>(CE17/CE27)*100</f>
        <v>1.467772814294831</v>
      </c>
      <c r="CF77" s="44">
        <f>(CF17/CF27)*100</f>
        <v>0.3364165127631367</v>
      </c>
    </row>
    <row r="78" spans="25:84" ht="15">
      <c r="Y78" s="168"/>
      <c r="AR78" s="3" t="s">
        <v>265</v>
      </c>
      <c r="AS78" s="139">
        <f t="shared" si="138"/>
        <v>67.31413261888815</v>
      </c>
      <c r="AT78" s="139">
        <f t="shared" si="139"/>
        <v>9.84594775619558</v>
      </c>
      <c r="AU78" s="139">
        <f t="shared" si="140"/>
        <v>2.1433355659745477</v>
      </c>
      <c r="AV78" s="139">
        <f t="shared" si="141"/>
        <v>0</v>
      </c>
      <c r="AW78" s="139">
        <f t="shared" si="142"/>
        <v>0.26791694574681846</v>
      </c>
      <c r="AX78" s="139">
        <f t="shared" si="143"/>
        <v>0</v>
      </c>
      <c r="AY78" s="139">
        <f t="shared" si="144"/>
        <v>0.06697923643670461</v>
      </c>
      <c r="AZ78" s="139">
        <f t="shared" si="145"/>
        <v>0</v>
      </c>
      <c r="BA78" s="139">
        <f t="shared" si="146"/>
        <v>0</v>
      </c>
      <c r="BB78" s="139">
        <f t="shared" si="147"/>
        <v>0.13395847287340923</v>
      </c>
      <c r="BC78" s="139">
        <f t="shared" si="148"/>
        <v>0.13395847287340923</v>
      </c>
      <c r="BD78" s="139">
        <f t="shared" si="149"/>
        <v>0</v>
      </c>
      <c r="BE78" s="139">
        <f t="shared" si="150"/>
        <v>17.07970529135968</v>
      </c>
      <c r="BF78" s="139">
        <f t="shared" si="151"/>
        <v>3.014065639651708</v>
      </c>
      <c r="BG78" s="64">
        <f t="shared" si="152"/>
        <v>100</v>
      </c>
      <c r="BI78" s="3" t="s">
        <v>266</v>
      </c>
      <c r="BJ78" s="191">
        <f>(BJ18/BJ27)*100</f>
        <v>1.0425592687803484</v>
      </c>
      <c r="BK78" s="191">
        <f>(BK18/BK27)*100</f>
        <v>0.6926293779404078</v>
      </c>
      <c r="BL78" s="191">
        <f aca="true" t="shared" si="165" ref="BL78:BT78">(BL18/BL27)*100</f>
        <v>0.6501950585175552</v>
      </c>
      <c r="BM78" s="191">
        <f t="shared" si="165"/>
        <v>0.8046407185628742</v>
      </c>
      <c r="BN78" s="191">
        <f t="shared" si="165"/>
        <v>0.8336564559906942</v>
      </c>
      <c r="BO78" s="191">
        <f t="shared" si="165"/>
        <v>0.8436521975779018</v>
      </c>
      <c r="BP78" s="191">
        <f t="shared" si="165"/>
        <v>1.0295434198746642</v>
      </c>
      <c r="BQ78" s="191">
        <f t="shared" si="165"/>
        <v>0.9090909090909091</v>
      </c>
      <c r="BR78" s="191">
        <f t="shared" si="165"/>
        <v>1.3</v>
      </c>
      <c r="BS78" s="191">
        <f t="shared" si="165"/>
        <v>1.3020833333333335</v>
      </c>
      <c r="BT78" s="195">
        <f t="shared" si="165"/>
        <v>0.8746355685131195</v>
      </c>
      <c r="BV78" s="3" t="s">
        <v>266</v>
      </c>
      <c r="BW78" s="139">
        <f t="shared" si="135"/>
        <v>46.93333333333333</v>
      </c>
      <c r="BX78" s="139">
        <f t="shared" si="136"/>
        <v>53.06666666666666</v>
      </c>
      <c r="BY78" s="64">
        <f t="shared" si="137"/>
        <v>100</v>
      </c>
      <c r="CA78" s="3" t="s">
        <v>266</v>
      </c>
      <c r="CB78" s="43">
        <f>(CB18/CB27)*100</f>
        <v>1.0767500347542558</v>
      </c>
      <c r="CC78" s="43">
        <f>(CC18/CC27)*100</f>
        <v>1.3279296369750797</v>
      </c>
      <c r="CD78" s="43">
        <f>(CD18/CD27)*100</f>
        <v>1.2313104661389622</v>
      </c>
      <c r="CE78" s="43">
        <f>(CE18/CE27)*100</f>
        <v>1.7868538608806637</v>
      </c>
      <c r="CF78" s="44">
        <f>(CF18/CF27)*100</f>
        <v>1.1786072816166384</v>
      </c>
    </row>
    <row r="79" spans="25:84" ht="15">
      <c r="Y79" s="168"/>
      <c r="AR79" s="3" t="s">
        <v>266</v>
      </c>
      <c r="AS79" s="139">
        <f t="shared" si="138"/>
        <v>43.283983849259755</v>
      </c>
      <c r="AT79" s="139">
        <f t="shared" si="139"/>
        <v>9.179004037685061</v>
      </c>
      <c r="AU79" s="139">
        <f t="shared" si="140"/>
        <v>2.0457604306864066</v>
      </c>
      <c r="AV79" s="139">
        <f t="shared" si="141"/>
        <v>0.08075370121130553</v>
      </c>
      <c r="AW79" s="139">
        <f t="shared" si="142"/>
        <v>0.08075370121130553</v>
      </c>
      <c r="AX79" s="139">
        <f t="shared" si="143"/>
        <v>0.3230148048452221</v>
      </c>
      <c r="AY79" s="139">
        <f t="shared" si="144"/>
        <v>0.026917900403768503</v>
      </c>
      <c r="AZ79" s="139">
        <f t="shared" si="145"/>
        <v>0.13458950201884254</v>
      </c>
      <c r="BA79" s="139">
        <f t="shared" si="146"/>
        <v>0.053835800807537006</v>
      </c>
      <c r="BB79" s="139">
        <f t="shared" si="147"/>
        <v>0.10767160161507401</v>
      </c>
      <c r="BC79" s="139">
        <f t="shared" si="148"/>
        <v>0.16150740242261105</v>
      </c>
      <c r="BD79" s="139">
        <f t="shared" si="149"/>
        <v>0</v>
      </c>
      <c r="BE79" s="139">
        <f t="shared" si="150"/>
        <v>40</v>
      </c>
      <c r="BF79" s="139">
        <f t="shared" si="151"/>
        <v>4.5222072678331084</v>
      </c>
      <c r="BG79" s="64">
        <f t="shared" si="152"/>
        <v>99.99999999999999</v>
      </c>
      <c r="BI79" s="3" t="s">
        <v>267</v>
      </c>
      <c r="BJ79" s="191">
        <f>(BJ19/BJ27)*100</f>
        <v>3.0277063696086834</v>
      </c>
      <c r="BK79" s="191">
        <f>(BK19/BK27)*100</f>
        <v>4.038159958180867</v>
      </c>
      <c r="BL79" s="191">
        <f aca="true" t="shared" si="166" ref="BL79:BT79">(BL19/BL27)*100</f>
        <v>4.17208495882098</v>
      </c>
      <c r="BM79" s="191">
        <f t="shared" si="166"/>
        <v>3.76122754491018</v>
      </c>
      <c r="BN79" s="191">
        <f t="shared" si="166"/>
        <v>3.97440868553703</v>
      </c>
      <c r="BO79" s="191">
        <f t="shared" si="166"/>
        <v>4.2046536943801875</v>
      </c>
      <c r="BP79" s="191">
        <f t="shared" si="166"/>
        <v>4.610564010743062</v>
      </c>
      <c r="BQ79" s="191">
        <f t="shared" si="166"/>
        <v>3.971291866028708</v>
      </c>
      <c r="BR79" s="191">
        <f t="shared" si="166"/>
        <v>4.95</v>
      </c>
      <c r="BS79" s="191">
        <f t="shared" si="166"/>
        <v>5.2734375</v>
      </c>
      <c r="BT79" s="195">
        <f t="shared" si="166"/>
        <v>3.885502252849191</v>
      </c>
      <c r="BV79" s="3" t="s">
        <v>267</v>
      </c>
      <c r="BW79" s="139">
        <f t="shared" si="135"/>
        <v>51.12171837708831</v>
      </c>
      <c r="BX79" s="139">
        <f t="shared" si="136"/>
        <v>48.87828162291169</v>
      </c>
      <c r="BY79" s="64">
        <f t="shared" si="137"/>
        <v>100</v>
      </c>
      <c r="CA79" s="3" t="s">
        <v>267</v>
      </c>
      <c r="CB79" s="43">
        <f>(CB19/CB27)*100</f>
        <v>1.7933196001364893</v>
      </c>
      <c r="CC79" s="43">
        <f>(CC19/CC27)*100</f>
        <v>3.2400620850219886</v>
      </c>
      <c r="CD79" s="43">
        <f>(CD19/CD27)*100</f>
        <v>7.505130460275579</v>
      </c>
      <c r="CE79" s="43">
        <f>(CE19/CE27)*100</f>
        <v>9.572431397574984</v>
      </c>
      <c r="CF79" s="44">
        <f>(CF19/CF27)*100</f>
        <v>2.5503283701041433</v>
      </c>
    </row>
    <row r="80" spans="25:84" ht="15">
      <c r="Y80" s="168"/>
      <c r="AR80" s="3" t="s">
        <v>267</v>
      </c>
      <c r="AS80" s="139">
        <f t="shared" si="138"/>
        <v>43.582395087001025</v>
      </c>
      <c r="AT80" s="139">
        <f t="shared" si="139"/>
        <v>8.198567041965198</v>
      </c>
      <c r="AU80" s="139">
        <f t="shared" si="140"/>
        <v>1.7911975435005119</v>
      </c>
      <c r="AV80" s="139">
        <f t="shared" si="141"/>
        <v>0.030706243602865918</v>
      </c>
      <c r="AW80" s="139">
        <f t="shared" si="142"/>
        <v>0</v>
      </c>
      <c r="AX80" s="139">
        <f t="shared" si="143"/>
        <v>0.0511770726714432</v>
      </c>
      <c r="AY80" s="139">
        <f t="shared" si="144"/>
        <v>0</v>
      </c>
      <c r="AZ80" s="139">
        <f t="shared" si="145"/>
        <v>0.030706243602865918</v>
      </c>
      <c r="BA80" s="139">
        <f t="shared" si="146"/>
        <v>0</v>
      </c>
      <c r="BB80" s="139">
        <f t="shared" si="147"/>
        <v>0.17400204708290684</v>
      </c>
      <c r="BC80" s="139">
        <f t="shared" si="148"/>
        <v>0.11258955987717503</v>
      </c>
      <c r="BD80" s="139">
        <f t="shared" si="149"/>
        <v>0.030706243602865918</v>
      </c>
      <c r="BE80" s="139">
        <f t="shared" si="150"/>
        <v>41.944728761514845</v>
      </c>
      <c r="BF80" s="139">
        <f t="shared" si="151"/>
        <v>4.053224155578301</v>
      </c>
      <c r="BG80" s="64">
        <f t="shared" si="152"/>
        <v>100</v>
      </c>
      <c r="BI80" s="67" t="s">
        <v>134</v>
      </c>
      <c r="BJ80" s="121">
        <f>(BJ20/BJ27)*100</f>
        <v>12.15367037989146</v>
      </c>
      <c r="BK80" s="121">
        <f>(BK20/BK27)*100</f>
        <v>16.374803972817563</v>
      </c>
      <c r="BL80" s="121">
        <f aca="true" t="shared" si="167" ref="BL80:BT80">(BL20/BL27)*100</f>
        <v>17.793671434763763</v>
      </c>
      <c r="BM80" s="121">
        <f t="shared" si="167"/>
        <v>19.16167664670659</v>
      </c>
      <c r="BN80" s="121">
        <f t="shared" si="167"/>
        <v>21.01589763474215</v>
      </c>
      <c r="BO80" s="121">
        <f t="shared" si="167"/>
        <v>22.370390529323718</v>
      </c>
      <c r="BP80" s="121">
        <f t="shared" si="167"/>
        <v>22.33661593554163</v>
      </c>
      <c r="BQ80" s="121">
        <f t="shared" si="167"/>
        <v>22.00956937799043</v>
      </c>
      <c r="BR80" s="121">
        <f t="shared" si="167"/>
        <v>23</v>
      </c>
      <c r="BS80" s="121">
        <f t="shared" si="167"/>
        <v>24.153645833333336</v>
      </c>
      <c r="BT80" s="163">
        <f t="shared" si="167"/>
        <v>17.915010159908118</v>
      </c>
      <c r="BV80" s="67" t="s">
        <v>134</v>
      </c>
      <c r="BW80" s="179">
        <f t="shared" si="135"/>
        <v>50.75663349917081</v>
      </c>
      <c r="BX80" s="179">
        <f t="shared" si="136"/>
        <v>49.24336650082919</v>
      </c>
      <c r="BY80" s="87">
        <f t="shared" si="137"/>
        <v>100</v>
      </c>
      <c r="CA80" s="67" t="s">
        <v>134</v>
      </c>
      <c r="CB80" s="130">
        <f>(CB20/CB27)*100</f>
        <v>8.572295171054128</v>
      </c>
      <c r="CC80" s="130">
        <f>(CC20/CC27)*100</f>
        <v>10.862723118047771</v>
      </c>
      <c r="CD80" s="130">
        <f>(CD20/CD27)*100</f>
        <v>24.069187921430665</v>
      </c>
      <c r="CE80" s="130">
        <f>(CE20/CE27)*100</f>
        <v>26.292278238672623</v>
      </c>
      <c r="CF80" s="132">
        <f>(CF20/CF27)*100</f>
        <v>10.004368050393508</v>
      </c>
    </row>
    <row r="81" spans="25:84" ht="15">
      <c r="Y81" s="168"/>
      <c r="AR81" s="67" t="s">
        <v>134</v>
      </c>
      <c r="AS81" s="179">
        <f t="shared" si="138"/>
        <v>53.562706069117105</v>
      </c>
      <c r="AT81" s="179">
        <f t="shared" si="139"/>
        <v>19.907803150567833</v>
      </c>
      <c r="AU81" s="179">
        <f t="shared" si="140"/>
        <v>3.88631090487239</v>
      </c>
      <c r="AV81" s="179">
        <f t="shared" si="141"/>
        <v>0.051898888753205516</v>
      </c>
      <c r="AW81" s="179">
        <f t="shared" si="142"/>
        <v>0.009158627427036268</v>
      </c>
      <c r="AX81" s="179">
        <f t="shared" si="143"/>
        <v>0.06716326779826597</v>
      </c>
      <c r="AY81" s="179">
        <f t="shared" si="144"/>
        <v>0</v>
      </c>
      <c r="AZ81" s="179">
        <f t="shared" si="145"/>
        <v>0.015264379045060446</v>
      </c>
      <c r="BA81" s="179">
        <f t="shared" si="146"/>
        <v>0</v>
      </c>
      <c r="BB81" s="179">
        <f t="shared" si="147"/>
        <v>0.10990352912443521</v>
      </c>
      <c r="BC81" s="179">
        <f t="shared" si="148"/>
        <v>0.16180241787764074</v>
      </c>
      <c r="BD81" s="179">
        <f t="shared" si="149"/>
        <v>0.03663450970814507</v>
      </c>
      <c r="BE81" s="179">
        <f t="shared" si="150"/>
        <v>19.910856026376848</v>
      </c>
      <c r="BF81" s="179">
        <f t="shared" si="151"/>
        <v>2.280498229332031</v>
      </c>
      <c r="BG81" s="87">
        <f t="shared" si="152"/>
        <v>100</v>
      </c>
      <c r="BI81" s="3" t="s">
        <v>268</v>
      </c>
      <c r="BJ81" s="191">
        <f>(BJ21/BJ27)*100</f>
        <v>7.126535275635533</v>
      </c>
      <c r="BK81" s="191">
        <f>(BK21/BK27)*100</f>
        <v>9.840564558285415</v>
      </c>
      <c r="BL81" s="191">
        <f aca="true" t="shared" si="168" ref="BL81:BT81">(BL21/BL27)*100</f>
        <v>10.132206328565237</v>
      </c>
      <c r="BM81" s="191">
        <f t="shared" si="168"/>
        <v>10.741017964071856</v>
      </c>
      <c r="BN81" s="191">
        <f t="shared" si="168"/>
        <v>11.10895696006204</v>
      </c>
      <c r="BO81" s="191">
        <f t="shared" si="168"/>
        <v>11.33487549326439</v>
      </c>
      <c r="BP81" s="191">
        <f t="shared" si="168"/>
        <v>11.862130707251566</v>
      </c>
      <c r="BQ81" s="191">
        <f t="shared" si="168"/>
        <v>11.196172248803828</v>
      </c>
      <c r="BR81" s="191">
        <f t="shared" si="168"/>
        <v>12.25</v>
      </c>
      <c r="BS81" s="191">
        <f t="shared" si="168"/>
        <v>12.890625</v>
      </c>
      <c r="BT81" s="195">
        <f t="shared" si="168"/>
        <v>9.909002562063787</v>
      </c>
      <c r="BV81" s="3" t="s">
        <v>268</v>
      </c>
      <c r="BW81" s="139">
        <f t="shared" si="135"/>
        <v>50.71090047393365</v>
      </c>
      <c r="BX81" s="139">
        <f t="shared" si="136"/>
        <v>49.28909952606635</v>
      </c>
      <c r="BY81" s="64">
        <f t="shared" si="137"/>
        <v>100</v>
      </c>
      <c r="CA81" s="3" t="s">
        <v>268</v>
      </c>
      <c r="CB81" s="43">
        <f>(CB21/CB27)*100</f>
        <v>2.914302324111871</v>
      </c>
      <c r="CC81" s="43">
        <f>(CC21/CC27)*100</f>
        <v>5.169440372510132</v>
      </c>
      <c r="CD81" s="43">
        <f>(CD21/CD27)*100</f>
        <v>15.156845499853416</v>
      </c>
      <c r="CE81" s="43">
        <f>(CE21/CE27)*100</f>
        <v>17.80472239948947</v>
      </c>
      <c r="CF81" s="44">
        <f>(CF21/CF27)*100</f>
        <v>4.214785467419708</v>
      </c>
    </row>
    <row r="82" spans="25:84" ht="15">
      <c r="Y82" s="168"/>
      <c r="AR82" s="3" t="s">
        <v>268</v>
      </c>
      <c r="AS82" s="139">
        <f t="shared" si="138"/>
        <v>52.95586448913484</v>
      </c>
      <c r="AT82" s="139">
        <f t="shared" si="139"/>
        <v>12.464570117424753</v>
      </c>
      <c r="AU82" s="139">
        <f t="shared" si="140"/>
        <v>2.7331623700904304</v>
      </c>
      <c r="AV82" s="139">
        <f t="shared" si="141"/>
        <v>0.013497098123903362</v>
      </c>
      <c r="AW82" s="139">
        <f t="shared" si="142"/>
        <v>0.013497098123903362</v>
      </c>
      <c r="AX82" s="139">
        <f t="shared" si="143"/>
        <v>0.06073694155756512</v>
      </c>
      <c r="AY82" s="139">
        <f t="shared" si="144"/>
        <v>0</v>
      </c>
      <c r="AZ82" s="139">
        <f t="shared" si="145"/>
        <v>0.026994196247806725</v>
      </c>
      <c r="BA82" s="139">
        <f t="shared" si="146"/>
        <v>0</v>
      </c>
      <c r="BB82" s="139">
        <f t="shared" si="147"/>
        <v>0.08773113780537184</v>
      </c>
      <c r="BC82" s="139">
        <f t="shared" si="148"/>
        <v>0.16196517748684033</v>
      </c>
      <c r="BD82" s="139">
        <f t="shared" si="149"/>
        <v>0</v>
      </c>
      <c r="BE82" s="139">
        <f t="shared" si="150"/>
        <v>28.43838574706438</v>
      </c>
      <c r="BF82" s="139">
        <f t="shared" si="151"/>
        <v>3.0435956269402076</v>
      </c>
      <c r="BG82" s="64">
        <f t="shared" si="152"/>
        <v>100</v>
      </c>
      <c r="BI82" s="3" t="s">
        <v>269</v>
      </c>
      <c r="BJ82" s="191">
        <f>(BJ22/BJ27)*100</f>
        <v>3.1919451585261354</v>
      </c>
      <c r="BK82" s="191">
        <f>(BK22/BK27)*100</f>
        <v>4.53476215368531</v>
      </c>
      <c r="BL82" s="191">
        <f aca="true" t="shared" si="169" ref="BL82:BT82">(BL22/BL27)*100</f>
        <v>5.223233636757694</v>
      </c>
      <c r="BM82" s="191">
        <f t="shared" si="169"/>
        <v>5.9880239520958085</v>
      </c>
      <c r="BN82" s="191">
        <f t="shared" si="169"/>
        <v>6.649864288483909</v>
      </c>
      <c r="BO82" s="191">
        <f t="shared" si="169"/>
        <v>7.620084365219758</v>
      </c>
      <c r="BP82" s="191">
        <f t="shared" si="169"/>
        <v>7.699194270367054</v>
      </c>
      <c r="BQ82" s="191">
        <f t="shared" si="169"/>
        <v>7.99043062200957</v>
      </c>
      <c r="BR82" s="191">
        <f t="shared" si="169"/>
        <v>8.35</v>
      </c>
      <c r="BS82" s="191">
        <f t="shared" si="169"/>
        <v>8.3984375</v>
      </c>
      <c r="BT82" s="195">
        <f t="shared" si="169"/>
        <v>5.53759166004064</v>
      </c>
      <c r="BV82" s="3" t="s">
        <v>269</v>
      </c>
      <c r="BW82" s="139">
        <f t="shared" si="135"/>
        <v>50.12185215272137</v>
      </c>
      <c r="BX82" s="139">
        <f t="shared" si="136"/>
        <v>49.87814784727863</v>
      </c>
      <c r="BY82" s="64">
        <f t="shared" si="137"/>
        <v>100</v>
      </c>
      <c r="CA82" s="3" t="s">
        <v>269</v>
      </c>
      <c r="CB82" s="43">
        <f>(CB22/CB27)*100</f>
        <v>4.669708190630253</v>
      </c>
      <c r="CC82" s="43">
        <f>(CC22/CC27)*100</f>
        <v>4.311459860308701</v>
      </c>
      <c r="CD82" s="43">
        <f>(CD22/CD27)*100</f>
        <v>5.423629434183524</v>
      </c>
      <c r="CE82" s="43">
        <f>(CE22/CE27)*100</f>
        <v>4.339502233567326</v>
      </c>
      <c r="CF82" s="44">
        <f>(CF22/CF27)*100</f>
        <v>4.5580989018568046</v>
      </c>
    </row>
    <row r="83" spans="25:84" ht="15">
      <c r="Y83" s="168"/>
      <c r="AR83" s="3" t="s">
        <v>269</v>
      </c>
      <c r="AS83" s="139">
        <f t="shared" si="138"/>
        <v>57.298528096283654</v>
      </c>
      <c r="AT83" s="139">
        <f t="shared" si="139"/>
        <v>25.437098479303895</v>
      </c>
      <c r="AU83" s="139">
        <f t="shared" si="140"/>
        <v>4.586484508416687</v>
      </c>
      <c r="AV83" s="139">
        <f t="shared" si="141"/>
        <v>0.06505651784988209</v>
      </c>
      <c r="AW83" s="139">
        <f t="shared" si="142"/>
        <v>0</v>
      </c>
      <c r="AX83" s="139">
        <f t="shared" si="143"/>
        <v>0.040660323656176306</v>
      </c>
      <c r="AY83" s="139">
        <f t="shared" si="144"/>
        <v>0</v>
      </c>
      <c r="AZ83" s="139">
        <f t="shared" si="145"/>
        <v>0.008132064731235261</v>
      </c>
      <c r="BA83" s="139">
        <f t="shared" si="146"/>
        <v>0</v>
      </c>
      <c r="BB83" s="139">
        <f t="shared" si="147"/>
        <v>0.05692445311864683</v>
      </c>
      <c r="BC83" s="139">
        <f t="shared" si="148"/>
        <v>0.1382451004309994</v>
      </c>
      <c r="BD83" s="139">
        <f t="shared" si="149"/>
        <v>0.08945271204358787</v>
      </c>
      <c r="BE83" s="139">
        <f t="shared" si="150"/>
        <v>10.921362934048954</v>
      </c>
      <c r="BF83" s="139">
        <f t="shared" si="151"/>
        <v>1.3580548101162886</v>
      </c>
      <c r="BG83" s="64">
        <f t="shared" si="152"/>
        <v>99.99999999999997</v>
      </c>
      <c r="BI83" s="3" t="s">
        <v>270</v>
      </c>
      <c r="BJ83" s="191">
        <f>(BJ23/BJ27)*100</f>
        <v>1.8351899457297915</v>
      </c>
      <c r="BK83" s="191">
        <f>(BK23/BK27)*100</f>
        <v>1.9994772608468374</v>
      </c>
      <c r="BL83" s="191">
        <f aca="true" t="shared" si="170" ref="BL83:BT83">(BL23/BL27)*100</f>
        <v>2.438231469440832</v>
      </c>
      <c r="BM83" s="191">
        <f t="shared" si="170"/>
        <v>2.4326347305389224</v>
      </c>
      <c r="BN83" s="191">
        <f t="shared" si="170"/>
        <v>3.2570763861961995</v>
      </c>
      <c r="BO83" s="191">
        <f t="shared" si="170"/>
        <v>3.41543067083957</v>
      </c>
      <c r="BP83" s="191">
        <f t="shared" si="170"/>
        <v>2.775290957923008</v>
      </c>
      <c r="BQ83" s="191">
        <f t="shared" si="170"/>
        <v>2.8229665071770333</v>
      </c>
      <c r="BR83" s="191">
        <f t="shared" si="170"/>
        <v>2.4</v>
      </c>
      <c r="BS83" s="191">
        <f t="shared" si="170"/>
        <v>2.864583333333333</v>
      </c>
      <c r="BT83" s="195">
        <f t="shared" si="170"/>
        <v>2.4684159378036927</v>
      </c>
      <c r="BV83" s="3" t="s">
        <v>270</v>
      </c>
      <c r="BW83" s="139">
        <f t="shared" si="135"/>
        <v>51.52164594942135</v>
      </c>
      <c r="BX83" s="139">
        <f t="shared" si="136"/>
        <v>48.47835405057865</v>
      </c>
      <c r="BY83" s="64">
        <f t="shared" si="137"/>
        <v>100</v>
      </c>
      <c r="CA83" s="3" t="s">
        <v>270</v>
      </c>
      <c r="CB83" s="43">
        <f>(CB23/CB27)*100</f>
        <v>0.9882846563120048</v>
      </c>
      <c r="CC83" s="43">
        <f>(CC23/CC27)*100</f>
        <v>1.3818228852289385</v>
      </c>
      <c r="CD83" s="43">
        <f>(CD23/CD27)*100</f>
        <v>3.488712987393726</v>
      </c>
      <c r="CE83" s="43">
        <f>(CE23/CE27)*100</f>
        <v>4.148053605615827</v>
      </c>
      <c r="CF83" s="44">
        <f>(CF23/CF27)*100</f>
        <v>1.231483681116995</v>
      </c>
    </row>
    <row r="84" spans="25:84" ht="15">
      <c r="Y84" s="168"/>
      <c r="AR84" s="3" t="s">
        <v>270</v>
      </c>
      <c r="AS84" s="139">
        <f t="shared" si="138"/>
        <v>47.012940967913494</v>
      </c>
      <c r="AT84" s="139">
        <f t="shared" si="139"/>
        <v>27.406488211310055</v>
      </c>
      <c r="AU84" s="139">
        <f t="shared" si="140"/>
        <v>5.389115405070023</v>
      </c>
      <c r="AV84" s="139">
        <f t="shared" si="141"/>
        <v>0.12409147314305974</v>
      </c>
      <c r="AW84" s="139">
        <f t="shared" si="142"/>
        <v>0.01772735330615139</v>
      </c>
      <c r="AX84" s="139">
        <f t="shared" si="143"/>
        <v>0.14181882644921112</v>
      </c>
      <c r="AY84" s="139">
        <f t="shared" si="144"/>
        <v>0</v>
      </c>
      <c r="AZ84" s="139">
        <f t="shared" si="145"/>
        <v>0</v>
      </c>
      <c r="BA84" s="139">
        <f t="shared" si="146"/>
        <v>0</v>
      </c>
      <c r="BB84" s="139">
        <f t="shared" si="147"/>
        <v>0.28363765289842224</v>
      </c>
      <c r="BC84" s="139">
        <f t="shared" si="148"/>
        <v>0.21272823967381668</v>
      </c>
      <c r="BD84" s="139">
        <f t="shared" si="149"/>
        <v>0.01772735330615139</v>
      </c>
      <c r="BE84" s="139">
        <f t="shared" si="150"/>
        <v>17.106895940436093</v>
      </c>
      <c r="BF84" s="139">
        <f t="shared" si="151"/>
        <v>2.286828576493529</v>
      </c>
      <c r="BG84" s="64">
        <f t="shared" si="152"/>
        <v>100.00000000000003</v>
      </c>
      <c r="BI84" s="67" t="s">
        <v>135</v>
      </c>
      <c r="BJ84" s="121">
        <f>(BJ24/BJ27)*100</f>
        <v>2.2850614110254215</v>
      </c>
      <c r="BK84" s="121">
        <f>(BK24/BK27)*100</f>
        <v>2.7574490329325667</v>
      </c>
      <c r="BL84" s="121">
        <f aca="true" t="shared" si="171" ref="BL84:BT84">(BL24/BL27)*100</f>
        <v>2.8066753359341137</v>
      </c>
      <c r="BM84" s="121">
        <f t="shared" si="171"/>
        <v>2.844311377245509</v>
      </c>
      <c r="BN84" s="121">
        <f t="shared" si="171"/>
        <v>2.6948429623885226</v>
      </c>
      <c r="BO84" s="121">
        <f t="shared" si="171"/>
        <v>2.9391753980133353</v>
      </c>
      <c r="BP84" s="121">
        <f t="shared" si="171"/>
        <v>2.909579230080573</v>
      </c>
      <c r="BQ84" s="121">
        <f t="shared" si="171"/>
        <v>2.5358851674641145</v>
      </c>
      <c r="BR84" s="121">
        <f t="shared" si="171"/>
        <v>2.5</v>
      </c>
      <c r="BS84" s="121">
        <f t="shared" si="171"/>
        <v>2.1484375</v>
      </c>
      <c r="BT84" s="163">
        <f t="shared" si="171"/>
        <v>2.6468769325912183</v>
      </c>
      <c r="BV84" s="67" t="s">
        <v>135</v>
      </c>
      <c r="BW84" s="179">
        <f t="shared" si="135"/>
        <v>51.84905660377358</v>
      </c>
      <c r="BX84" s="179">
        <f t="shared" si="136"/>
        <v>48.15094339622642</v>
      </c>
      <c r="BY84" s="87">
        <f t="shared" si="137"/>
        <v>100</v>
      </c>
      <c r="CA84" s="67" t="s">
        <v>135</v>
      </c>
      <c r="CB84" s="130">
        <f>(CB24/CB27)*100</f>
        <v>1.359839245769459</v>
      </c>
      <c r="CC84" s="130">
        <f>(CC24/CC27)*100</f>
        <v>2.326032594636544</v>
      </c>
      <c r="CD84" s="130">
        <f>(CD24/CD27)*100</f>
        <v>4.9545587804163</v>
      </c>
      <c r="CE84" s="130">
        <f>(CE24/CE27)*100</f>
        <v>4.339502233567326</v>
      </c>
      <c r="CF84" s="132">
        <f>(CF24/CF27)*100</f>
        <v>1.8330485160123533</v>
      </c>
    </row>
    <row r="85" spans="25:84" ht="15">
      <c r="Y85" s="168"/>
      <c r="AR85" s="67" t="s">
        <v>135</v>
      </c>
      <c r="AS85" s="179">
        <f t="shared" si="138"/>
        <v>36.56114214773433</v>
      </c>
      <c r="AT85" s="179">
        <f t="shared" si="139"/>
        <v>11.343885785226568</v>
      </c>
      <c r="AU85" s="179">
        <f t="shared" si="140"/>
        <v>2.715704531346989</v>
      </c>
      <c r="AV85" s="179">
        <f t="shared" si="141"/>
        <v>0.031036623215394164</v>
      </c>
      <c r="AW85" s="179">
        <f t="shared" si="142"/>
        <v>0.031036623215394164</v>
      </c>
      <c r="AX85" s="179">
        <f t="shared" si="143"/>
        <v>0.07759155803848541</v>
      </c>
      <c r="AY85" s="179">
        <f t="shared" si="144"/>
        <v>0</v>
      </c>
      <c r="AZ85" s="179">
        <f t="shared" si="145"/>
        <v>0.015518311607697082</v>
      </c>
      <c r="BA85" s="179">
        <f t="shared" si="146"/>
        <v>0</v>
      </c>
      <c r="BB85" s="179">
        <f t="shared" si="147"/>
        <v>0.12414649286157665</v>
      </c>
      <c r="BC85" s="179">
        <f t="shared" si="148"/>
        <v>0.48106765983860955</v>
      </c>
      <c r="BD85" s="179">
        <f t="shared" si="149"/>
        <v>0.06207324643078833</v>
      </c>
      <c r="BE85" s="179">
        <f t="shared" si="150"/>
        <v>43.91682184978274</v>
      </c>
      <c r="BF85" s="179">
        <f t="shared" si="151"/>
        <v>4.639975170701428</v>
      </c>
      <c r="BG85" s="87">
        <f t="shared" si="152"/>
        <v>100</v>
      </c>
      <c r="BI85" s="3" t="s">
        <v>271</v>
      </c>
      <c r="BJ85" s="191">
        <f>(BJ25/BJ27)*100</f>
        <v>1.0068551842330762</v>
      </c>
      <c r="BK85" s="191">
        <f>(BK25/BK27)*100</f>
        <v>1.2284370099320439</v>
      </c>
      <c r="BL85" s="191">
        <f aca="true" t="shared" si="172" ref="BL85:BT85">(BL25/BL27)*100</f>
        <v>1.3328998699609884</v>
      </c>
      <c r="BM85" s="191">
        <f t="shared" si="172"/>
        <v>1.2537425149700598</v>
      </c>
      <c r="BN85" s="191">
        <f t="shared" si="172"/>
        <v>1.1050794881737107</v>
      </c>
      <c r="BO85" s="191">
        <f t="shared" si="172"/>
        <v>1.3471220574227787</v>
      </c>
      <c r="BP85" s="191">
        <f t="shared" si="172"/>
        <v>1.1190689346463742</v>
      </c>
      <c r="BQ85" s="191">
        <f t="shared" si="172"/>
        <v>1.0047846889952152</v>
      </c>
      <c r="BR85" s="191">
        <f t="shared" si="172"/>
        <v>1.0999999999999999</v>
      </c>
      <c r="BS85" s="191">
        <f t="shared" si="172"/>
        <v>0.78125</v>
      </c>
      <c r="BT85" s="195">
        <f t="shared" si="172"/>
        <v>1.1679476985599435</v>
      </c>
      <c r="BV85" s="3" t="s">
        <v>271</v>
      </c>
      <c r="BW85" s="139">
        <f t="shared" si="135"/>
        <v>52.45614035087719</v>
      </c>
      <c r="BX85" s="139">
        <f t="shared" si="136"/>
        <v>47.54385964912281</v>
      </c>
      <c r="BY85" s="64">
        <f t="shared" si="137"/>
        <v>100</v>
      </c>
      <c r="CA85" s="3" t="s">
        <v>271</v>
      </c>
      <c r="CB85" s="43">
        <f>(CB25/CB27)*100</f>
        <v>0.49287853703539874</v>
      </c>
      <c r="CC85" s="43">
        <f>(CC25/CC27)*100</f>
        <v>0.8644477019918945</v>
      </c>
      <c r="CD85" s="43">
        <f>(CD25/CD27)*100</f>
        <v>2.198768689533861</v>
      </c>
      <c r="CE85" s="43">
        <f>(CE25/CE27)*100</f>
        <v>1.9783024888321634</v>
      </c>
      <c r="CF85" s="44">
        <f>(CF25/CF27)*100</f>
        <v>0.6873931935046323</v>
      </c>
    </row>
    <row r="86" spans="25:84" ht="15">
      <c r="Y86" s="168"/>
      <c r="AR86" s="3" t="s">
        <v>271</v>
      </c>
      <c r="AS86" s="139">
        <f t="shared" si="138"/>
        <v>41.40425531914894</v>
      </c>
      <c r="AT86" s="139">
        <f t="shared" si="139"/>
        <v>13.02127659574468</v>
      </c>
      <c r="AU86" s="139">
        <f t="shared" si="140"/>
        <v>4.382978723404255</v>
      </c>
      <c r="AV86" s="139">
        <f t="shared" si="141"/>
        <v>0.0425531914893617</v>
      </c>
      <c r="AW86" s="139">
        <f t="shared" si="142"/>
        <v>0.0425531914893617</v>
      </c>
      <c r="AX86" s="139">
        <f t="shared" si="143"/>
        <v>0.0425531914893617</v>
      </c>
      <c r="AY86" s="139">
        <f t="shared" si="144"/>
        <v>0</v>
      </c>
      <c r="AZ86" s="139">
        <f t="shared" si="145"/>
        <v>0.0425531914893617</v>
      </c>
      <c r="BA86" s="139">
        <f t="shared" si="146"/>
        <v>0</v>
      </c>
      <c r="BB86" s="139">
        <f t="shared" si="147"/>
        <v>0.0851063829787234</v>
      </c>
      <c r="BC86" s="139">
        <f t="shared" si="148"/>
        <v>0.5106382978723404</v>
      </c>
      <c r="BD86" s="139">
        <f t="shared" si="149"/>
        <v>0.1276595744680851</v>
      </c>
      <c r="BE86" s="139">
        <f t="shared" si="150"/>
        <v>36.08510638297872</v>
      </c>
      <c r="BF86" s="139">
        <f t="shared" si="151"/>
        <v>4.212765957446808</v>
      </c>
      <c r="BG86" s="64">
        <f t="shared" si="152"/>
        <v>100</v>
      </c>
      <c r="BI86" s="146" t="s">
        <v>272</v>
      </c>
      <c r="BJ86" s="191">
        <f>(BJ26/BJ27)*100</f>
        <v>1.278206226792345</v>
      </c>
      <c r="BK86" s="191">
        <f>(BK26/BK27)*100</f>
        <v>1.5290120230005226</v>
      </c>
      <c r="BL86" s="191">
        <f aca="true" t="shared" si="173" ref="BL86:BT86">(BL26/BL27)*100</f>
        <v>1.4737754659731253</v>
      </c>
      <c r="BM86" s="191">
        <f t="shared" si="173"/>
        <v>1.5905688622754492</v>
      </c>
      <c r="BN86" s="191">
        <f t="shared" si="173"/>
        <v>1.589763474214812</v>
      </c>
      <c r="BO86" s="191">
        <f t="shared" si="173"/>
        <v>1.5920533405905566</v>
      </c>
      <c r="BP86" s="191">
        <f t="shared" si="173"/>
        <v>1.7905102954341987</v>
      </c>
      <c r="BQ86" s="191">
        <f t="shared" si="173"/>
        <v>1.5311004784688995</v>
      </c>
      <c r="BR86" s="191">
        <f t="shared" si="173"/>
        <v>1.4000000000000001</v>
      </c>
      <c r="BS86" s="191">
        <f t="shared" si="173"/>
        <v>1.3671875</v>
      </c>
      <c r="BT86" s="195">
        <f t="shared" si="173"/>
        <v>1.478929234031275</v>
      </c>
      <c r="BV86" s="146" t="s">
        <v>272</v>
      </c>
      <c r="BW86" s="139">
        <f t="shared" si="135"/>
        <v>51.39072847682119</v>
      </c>
      <c r="BX86" s="139">
        <f t="shared" si="136"/>
        <v>48.60927152317881</v>
      </c>
      <c r="BY86" s="64">
        <f t="shared" si="137"/>
        <v>100</v>
      </c>
      <c r="CA86" s="3" t="s">
        <v>272</v>
      </c>
      <c r="CB86" s="43">
        <f>(CB26/CB27)*100</f>
        <v>0.8669607087340605</v>
      </c>
      <c r="CC86" s="43">
        <f>(CC26/CC27)*100</f>
        <v>1.4615848926446495</v>
      </c>
      <c r="CD86" s="43">
        <f>(CD26/CD27)*100</f>
        <v>2.755790090882439</v>
      </c>
      <c r="CE86" s="43">
        <f>(CE26/CE27)*100</f>
        <v>2.361199744735163</v>
      </c>
      <c r="CF86" s="44">
        <f>(CF26/CF27)*100</f>
        <v>1.1456553225077206</v>
      </c>
    </row>
    <row r="87" spans="25:84" ht="15">
      <c r="Y87" s="168"/>
      <c r="AR87" s="146" t="s">
        <v>272</v>
      </c>
      <c r="AS87" s="139">
        <f t="shared" si="138"/>
        <v>33.78114313629702</v>
      </c>
      <c r="AT87" s="139">
        <f t="shared" si="139"/>
        <v>10.38104543234001</v>
      </c>
      <c r="AU87" s="139">
        <f t="shared" si="140"/>
        <v>1.7586712261846604</v>
      </c>
      <c r="AV87" s="139">
        <f t="shared" si="141"/>
        <v>0.024425989252564728</v>
      </c>
      <c r="AW87" s="139">
        <f t="shared" si="142"/>
        <v>0.024425989252564728</v>
      </c>
      <c r="AX87" s="139">
        <f t="shared" si="143"/>
        <v>0.09770395701025891</v>
      </c>
      <c r="AY87" s="139">
        <f t="shared" si="144"/>
        <v>0</v>
      </c>
      <c r="AZ87" s="139">
        <f t="shared" si="145"/>
        <v>0</v>
      </c>
      <c r="BA87" s="139">
        <f t="shared" si="146"/>
        <v>0</v>
      </c>
      <c r="BB87" s="139">
        <f t="shared" si="147"/>
        <v>0.14655593551538837</v>
      </c>
      <c r="BC87" s="139">
        <f t="shared" si="148"/>
        <v>0.46409379579872984</v>
      </c>
      <c r="BD87" s="139">
        <f t="shared" si="149"/>
        <v>0.024425989252564728</v>
      </c>
      <c r="BE87" s="139">
        <f t="shared" si="150"/>
        <v>48.4123106985833</v>
      </c>
      <c r="BF87" s="139">
        <f t="shared" si="151"/>
        <v>4.885197850512945</v>
      </c>
      <c r="BG87" s="64">
        <f t="shared" si="152"/>
        <v>100</v>
      </c>
      <c r="BI87" s="127" t="s">
        <v>48</v>
      </c>
      <c r="BJ87" s="195">
        <f>BJ65+BJ66+BJ67+BJ68+BJ70+BJ71+BJ72+BJ73+BJ75+BJ76+BJ77+BJ78+BJ79+BJ81+BJ82+BJ83+BJ85+BJ86</f>
        <v>100</v>
      </c>
      <c r="BK87" s="195">
        <f>BK65+BK66+BK67+BK68+BK70+BK71+BK72+BK73+BK75+BK76+BK77+BK78+BK79+BK81+BK82+BK83+BK85+BK86</f>
        <v>99.99999999999999</v>
      </c>
      <c r="BL87" s="195">
        <f aca="true" t="shared" si="174" ref="BL87:BT87">BL65+BL66+BL67+BL68+BL70+BL71+BL72+BL73+BL75+BL76+BL77+BL78+BL79+BL81+BL82+BL83+BL85+BL86</f>
        <v>99.99999999999996</v>
      </c>
      <c r="BM87" s="195">
        <f t="shared" si="174"/>
        <v>100</v>
      </c>
      <c r="BN87" s="195">
        <f t="shared" si="174"/>
        <v>100</v>
      </c>
      <c r="BO87" s="195">
        <f t="shared" si="174"/>
        <v>99.99999999999999</v>
      </c>
      <c r="BP87" s="195">
        <f t="shared" si="174"/>
        <v>100.00000000000001</v>
      </c>
      <c r="BQ87" s="195">
        <f t="shared" si="174"/>
        <v>100</v>
      </c>
      <c r="BR87" s="195">
        <f t="shared" si="174"/>
        <v>100</v>
      </c>
      <c r="BS87" s="195">
        <f t="shared" si="174"/>
        <v>99.99999999999999</v>
      </c>
      <c r="BT87" s="195">
        <f t="shared" si="174"/>
        <v>100</v>
      </c>
      <c r="BV87" s="127" t="s">
        <v>48</v>
      </c>
      <c r="BW87" s="64">
        <f t="shared" si="135"/>
        <v>50.76243484406749</v>
      </c>
      <c r="BX87" s="64">
        <f t="shared" si="136"/>
        <v>49.23756515593251</v>
      </c>
      <c r="BY87" s="64">
        <f t="shared" si="137"/>
        <v>100</v>
      </c>
      <c r="CA87" s="127" t="s">
        <v>48</v>
      </c>
      <c r="CB87" s="131">
        <f>CB64+CB69+CB74+CB80+CB84</f>
        <v>100</v>
      </c>
      <c r="CC87" s="131">
        <f>CC64+CC69+CC74+CC80+CC84</f>
        <v>99.99999999999999</v>
      </c>
      <c r="CD87" s="131">
        <f>CD64+CD69+CD74+CD80+CD84</f>
        <v>100.00000000000001</v>
      </c>
      <c r="CE87" s="131">
        <f>CE64+CE69+CE74+CE80+CE84</f>
        <v>100.00000000000001</v>
      </c>
      <c r="CF87" s="131">
        <f>CF64+CF69+CF74+CF80+CF84</f>
        <v>100</v>
      </c>
    </row>
    <row r="88" spans="25:84" ht="15">
      <c r="Y88" s="168"/>
      <c r="AR88" s="127" t="s">
        <v>48</v>
      </c>
      <c r="AS88" s="139">
        <f t="shared" si="138"/>
        <v>27.442792227886446</v>
      </c>
      <c r="AT88" s="139">
        <f t="shared" si="139"/>
        <v>37.07975699929966</v>
      </c>
      <c r="AU88" s="139">
        <f t="shared" si="140"/>
        <v>6.690662714376455</v>
      </c>
      <c r="AV88" s="139">
        <f t="shared" si="141"/>
        <v>0.6645059365787717</v>
      </c>
      <c r="AW88" s="139">
        <f t="shared" si="142"/>
        <v>0.1729669864330038</v>
      </c>
      <c r="AX88" s="139">
        <f t="shared" si="143"/>
        <v>1.0579976872587502</v>
      </c>
      <c r="AY88" s="139">
        <f t="shared" si="144"/>
        <v>0.2661281128357139</v>
      </c>
      <c r="AZ88" s="139">
        <f t="shared" si="145"/>
        <v>0.3625466212804769</v>
      </c>
      <c r="BA88" s="139">
        <f t="shared" si="146"/>
        <v>0.058958614961155724</v>
      </c>
      <c r="BB88" s="139">
        <f t="shared" si="147"/>
        <v>0.4153162103617322</v>
      </c>
      <c r="BC88" s="139">
        <f t="shared" si="148"/>
        <v>1.8951448720663202</v>
      </c>
      <c r="BD88" s="139">
        <f t="shared" si="149"/>
        <v>0.17166403361618265</v>
      </c>
      <c r="BE88" s="139">
        <f t="shared" si="150"/>
        <v>21.280802618935162</v>
      </c>
      <c r="BF88" s="139">
        <f t="shared" si="151"/>
        <v>2.4407563641101646</v>
      </c>
      <c r="BG88" s="64">
        <f t="shared" si="152"/>
        <v>100.00000000000003</v>
      </c>
      <c r="BI88" s="57" t="s">
        <v>319</v>
      </c>
      <c r="BJ88" s="59"/>
      <c r="BK88" s="59"/>
      <c r="BL88" s="59"/>
      <c r="BM88" s="59"/>
      <c r="BN88" s="59"/>
      <c r="BO88" s="59"/>
      <c r="BP88" s="59"/>
      <c r="BQ88" s="59"/>
      <c r="BR88" s="59"/>
      <c r="BT88" s="58" t="s">
        <v>18</v>
      </c>
      <c r="BV88" s="57" t="s">
        <v>327</v>
      </c>
      <c r="BW88" s="59"/>
      <c r="BX88" s="59"/>
      <c r="BY88" s="58" t="s">
        <v>18</v>
      </c>
      <c r="CA88" s="57" t="s">
        <v>335</v>
      </c>
      <c r="CB88" s="59"/>
      <c r="CC88" s="59"/>
      <c r="CE88" s="59"/>
      <c r="CF88" s="58" t="s">
        <v>18</v>
      </c>
    </row>
    <row r="89" spans="25:84" ht="15">
      <c r="Y89" s="168"/>
      <c r="AR89" s="57" t="s">
        <v>305</v>
      </c>
      <c r="AS89" s="59"/>
      <c r="AT89" s="59"/>
      <c r="AU89" s="59"/>
      <c r="AV89" s="59"/>
      <c r="AW89" s="59"/>
      <c r="AX89" s="59"/>
      <c r="AY89" s="59"/>
      <c r="AZ89" s="59"/>
      <c r="BA89" s="59"/>
      <c r="BG89" s="58" t="s">
        <v>18</v>
      </c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T89" s="58" t="s">
        <v>31</v>
      </c>
      <c r="BV89" s="59"/>
      <c r="BW89" s="59"/>
      <c r="BX89" s="59"/>
      <c r="BY89" s="58" t="s">
        <v>31</v>
      </c>
      <c r="CA89" s="59"/>
      <c r="CB89" s="59"/>
      <c r="CC89" s="59"/>
      <c r="CE89" s="59"/>
      <c r="CF89" s="58" t="s">
        <v>31</v>
      </c>
    </row>
    <row r="90" spans="25:59" ht="15">
      <c r="Y90" s="168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G90" s="58" t="s">
        <v>31</v>
      </c>
    </row>
    <row r="91" ht="15">
      <c r="Y91" s="168"/>
    </row>
    <row r="92" ht="15">
      <c r="Y92" s="168"/>
    </row>
    <row r="93" ht="15">
      <c r="Y93" s="168"/>
    </row>
    <row r="94" ht="15">
      <c r="Y94" s="168"/>
    </row>
    <row r="95" ht="15">
      <c r="Y95" s="168"/>
    </row>
    <row r="98" ht="15">
      <c r="Y98" s="159"/>
    </row>
    <row r="99" ht="15">
      <c r="Y99" s="159"/>
    </row>
    <row r="100" ht="12.75">
      <c r="Y100" s="33"/>
    </row>
    <row r="101" ht="15">
      <c r="Y101" s="37"/>
    </row>
    <row r="102" spans="25:76" ht="15">
      <c r="Y102" s="37"/>
      <c r="BI102" s="16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33"/>
      <c r="BT102" s="33"/>
      <c r="BU102" s="33"/>
      <c r="BV102" s="33"/>
      <c r="BW102" s="33"/>
      <c r="BX102" s="33"/>
    </row>
    <row r="103" spans="25:76" ht="15">
      <c r="Y103" s="37"/>
      <c r="BI103" s="184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81"/>
      <c r="BT103" s="281"/>
      <c r="BU103" s="281"/>
      <c r="BV103" s="281"/>
      <c r="BW103" s="281"/>
      <c r="BX103" s="33"/>
    </row>
    <row r="104" spans="25:76" ht="15">
      <c r="Y104" s="37"/>
      <c r="BI104" s="185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282"/>
      <c r="BU104" s="282"/>
      <c r="BV104" s="282"/>
      <c r="BW104" s="282"/>
      <c r="BX104" s="100"/>
    </row>
    <row r="105" spans="25:76" ht="15">
      <c r="Y105" s="171"/>
      <c r="BI105" s="187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283"/>
      <c r="BU105" s="283"/>
      <c r="BV105" s="283"/>
      <c r="BW105" s="283"/>
      <c r="BX105" s="187"/>
    </row>
    <row r="106" spans="25:76" ht="15">
      <c r="Y106" s="37"/>
      <c r="BI106" s="188"/>
      <c r="BJ106" s="178"/>
      <c r="BK106" s="178"/>
      <c r="BL106" s="178"/>
      <c r="BM106" s="178"/>
      <c r="BN106" s="178"/>
      <c r="BO106" s="178"/>
      <c r="BP106" s="178"/>
      <c r="BQ106" s="178"/>
      <c r="BR106" s="178"/>
      <c r="BS106" s="178"/>
      <c r="BT106" s="178"/>
      <c r="BU106" s="178"/>
      <c r="BV106" s="178"/>
      <c r="BW106" s="178"/>
      <c r="BX106" s="168"/>
    </row>
    <row r="107" spans="25:76" ht="15">
      <c r="Y107" s="37"/>
      <c r="BI107" s="188"/>
      <c r="BJ107" s="178"/>
      <c r="BK107" s="178"/>
      <c r="BL107" s="178"/>
      <c r="BM107" s="178"/>
      <c r="BN107" s="178"/>
      <c r="BO107" s="178"/>
      <c r="BP107" s="178"/>
      <c r="BQ107" s="178"/>
      <c r="BR107" s="178"/>
      <c r="BS107" s="178"/>
      <c r="BT107" s="178"/>
      <c r="BU107" s="178"/>
      <c r="BV107" s="178"/>
      <c r="BW107" s="178"/>
      <c r="BX107" s="168"/>
    </row>
    <row r="108" spans="25:76" ht="15">
      <c r="Y108" s="37"/>
      <c r="BI108" s="188"/>
      <c r="BJ108" s="178"/>
      <c r="BK108" s="178"/>
      <c r="BL108" s="178"/>
      <c r="BM108" s="178"/>
      <c r="BN108" s="178"/>
      <c r="BO108" s="178"/>
      <c r="BP108" s="178"/>
      <c r="BQ108" s="178"/>
      <c r="BR108" s="178"/>
      <c r="BS108" s="178"/>
      <c r="BT108" s="178"/>
      <c r="BU108" s="178"/>
      <c r="BV108" s="178"/>
      <c r="BW108" s="178"/>
      <c r="BX108" s="168"/>
    </row>
    <row r="109" spans="25:76" ht="15">
      <c r="Y109" s="37"/>
      <c r="BI109" s="188"/>
      <c r="BJ109" s="178"/>
      <c r="BK109" s="178"/>
      <c r="BL109" s="178"/>
      <c r="BM109" s="178"/>
      <c r="BN109" s="178"/>
      <c r="BO109" s="178"/>
      <c r="BP109" s="178"/>
      <c r="BQ109" s="178"/>
      <c r="BR109" s="178"/>
      <c r="BS109" s="178"/>
      <c r="BT109" s="178"/>
      <c r="BU109" s="178"/>
      <c r="BV109" s="178"/>
      <c r="BW109" s="178"/>
      <c r="BX109" s="168"/>
    </row>
    <row r="110" spans="25:76" ht="15">
      <c r="Y110" s="37"/>
      <c r="BI110" s="188"/>
      <c r="BJ110" s="46"/>
      <c r="BK110" s="46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68"/>
    </row>
    <row r="111" spans="25:76" ht="15">
      <c r="Y111" s="37"/>
      <c r="BI111" s="188"/>
      <c r="BJ111" s="178"/>
      <c r="BK111" s="178"/>
      <c r="BL111" s="178"/>
      <c r="BM111" s="178"/>
      <c r="BN111" s="178"/>
      <c r="BO111" s="178"/>
      <c r="BP111" s="178"/>
      <c r="BQ111" s="178"/>
      <c r="BR111" s="178"/>
      <c r="BS111" s="178"/>
      <c r="BT111" s="178"/>
      <c r="BU111" s="178"/>
      <c r="BV111" s="178"/>
      <c r="BW111" s="178"/>
      <c r="BX111" s="168"/>
    </row>
    <row r="112" spans="25:76" ht="15">
      <c r="Y112" s="171"/>
      <c r="BI112" s="188"/>
      <c r="BJ112" s="178"/>
      <c r="BK112" s="178"/>
      <c r="BL112" s="178"/>
      <c r="BM112" s="178"/>
      <c r="BN112" s="178"/>
      <c r="BO112" s="178"/>
      <c r="BP112" s="178"/>
      <c r="BQ112" s="178"/>
      <c r="BR112" s="178"/>
      <c r="BS112" s="178"/>
      <c r="BT112" s="178"/>
      <c r="BU112" s="178"/>
      <c r="BV112" s="178"/>
      <c r="BW112" s="178"/>
      <c r="BX112" s="168"/>
    </row>
    <row r="113" spans="25:76" ht="15">
      <c r="Y113" s="171"/>
      <c r="BI113" s="188"/>
      <c r="BJ113" s="178"/>
      <c r="BK113" s="178"/>
      <c r="BL113" s="178"/>
      <c r="BM113" s="178"/>
      <c r="BN113" s="178"/>
      <c r="BO113" s="178"/>
      <c r="BP113" s="178"/>
      <c r="BQ113" s="178"/>
      <c r="BR113" s="178"/>
      <c r="BS113" s="178"/>
      <c r="BT113" s="178"/>
      <c r="BU113" s="178"/>
      <c r="BV113" s="178"/>
      <c r="BW113" s="178"/>
      <c r="BX113" s="168"/>
    </row>
    <row r="114" spans="25:76" ht="15">
      <c r="Y114" s="171"/>
      <c r="BI114" s="188"/>
      <c r="BJ114" s="178"/>
      <c r="BK114" s="178"/>
      <c r="BL114" s="178"/>
      <c r="BM114" s="178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68"/>
    </row>
    <row r="115" spans="25:76" ht="15">
      <c r="Y115" s="171"/>
      <c r="BI115" s="188"/>
      <c r="BJ115" s="178"/>
      <c r="BK115" s="178"/>
      <c r="BL115" s="178"/>
      <c r="BM115" s="178"/>
      <c r="BN115" s="178"/>
      <c r="BO115" s="178"/>
      <c r="BP115" s="178"/>
      <c r="BQ115" s="178"/>
      <c r="BR115" s="178"/>
      <c r="BS115" s="178"/>
      <c r="BT115" s="178"/>
      <c r="BU115" s="178"/>
      <c r="BV115" s="178"/>
      <c r="BW115" s="178"/>
      <c r="BX115" s="168"/>
    </row>
    <row r="116" spans="25:76" ht="15">
      <c r="Y116" s="171"/>
      <c r="BI116" s="188"/>
      <c r="BJ116" s="178"/>
      <c r="BK116" s="178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68"/>
    </row>
    <row r="117" spans="25:76" ht="15">
      <c r="Y117" s="171"/>
      <c r="BI117" s="188"/>
      <c r="BJ117" s="46"/>
      <c r="BK117" s="46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178"/>
      <c r="BX117" s="168"/>
    </row>
    <row r="118" spans="25:76" ht="15">
      <c r="Y118" s="171"/>
      <c r="BI118" s="188"/>
      <c r="BJ118" s="46"/>
      <c r="BK118" s="46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68"/>
    </row>
    <row r="119" spans="25:76" ht="15">
      <c r="Y119" s="171"/>
      <c r="BI119" s="188"/>
      <c r="BJ119" s="46"/>
      <c r="BK119" s="46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  <c r="BV119" s="178"/>
      <c r="BW119" s="178"/>
      <c r="BX119" s="168"/>
    </row>
    <row r="120" spans="25:76" ht="15">
      <c r="Y120" s="171"/>
      <c r="BI120" s="188"/>
      <c r="BJ120" s="46"/>
      <c r="BK120" s="46"/>
      <c r="BL120" s="178"/>
      <c r="BM120" s="178"/>
      <c r="BN120" s="178"/>
      <c r="BO120" s="178"/>
      <c r="BP120" s="178"/>
      <c r="BQ120" s="178"/>
      <c r="BR120" s="178"/>
      <c r="BS120" s="178"/>
      <c r="BT120" s="178"/>
      <c r="BU120" s="178"/>
      <c r="BV120" s="178"/>
      <c r="BW120" s="178"/>
      <c r="BX120" s="168"/>
    </row>
    <row r="121" spans="25:76" ht="15">
      <c r="Y121" s="171"/>
      <c r="BI121" s="188"/>
      <c r="BJ121" s="46"/>
      <c r="BK121" s="46"/>
      <c r="BL121" s="178"/>
      <c r="BM121" s="178"/>
      <c r="BN121" s="178"/>
      <c r="BO121" s="178"/>
      <c r="BP121" s="178"/>
      <c r="BQ121" s="178"/>
      <c r="BR121" s="178"/>
      <c r="BS121" s="178"/>
      <c r="BT121" s="178"/>
      <c r="BU121" s="178"/>
      <c r="BV121" s="178"/>
      <c r="BW121" s="178"/>
      <c r="BX121" s="168"/>
    </row>
    <row r="122" spans="25:76" ht="15">
      <c r="Y122" s="171"/>
      <c r="BI122" s="188"/>
      <c r="BJ122" s="46"/>
      <c r="BK122" s="46"/>
      <c r="BL122" s="178"/>
      <c r="BM122" s="178"/>
      <c r="BN122" s="178"/>
      <c r="BO122" s="178"/>
      <c r="BP122" s="178"/>
      <c r="BQ122" s="178"/>
      <c r="BR122" s="178"/>
      <c r="BS122" s="178"/>
      <c r="BT122" s="178"/>
      <c r="BU122" s="178"/>
      <c r="BV122" s="178"/>
      <c r="BW122" s="178"/>
      <c r="BX122" s="168"/>
    </row>
    <row r="123" spans="25:76" ht="15">
      <c r="Y123" s="171"/>
      <c r="BI123" s="188"/>
      <c r="BJ123" s="46"/>
      <c r="BK123" s="46"/>
      <c r="BL123" s="178"/>
      <c r="BM123" s="178"/>
      <c r="BN123" s="178"/>
      <c r="BO123" s="178"/>
      <c r="BP123" s="178"/>
      <c r="BQ123" s="178"/>
      <c r="BR123" s="178"/>
      <c r="BS123" s="178"/>
      <c r="BT123" s="178"/>
      <c r="BU123" s="178"/>
      <c r="BV123" s="178"/>
      <c r="BW123" s="178"/>
      <c r="BX123" s="168"/>
    </row>
    <row r="124" spans="25:76" ht="15">
      <c r="Y124" s="170"/>
      <c r="BI124" s="188"/>
      <c r="BJ124" s="46"/>
      <c r="BK124" s="46"/>
      <c r="BL124" s="178"/>
      <c r="BM124" s="178"/>
      <c r="BN124" s="178"/>
      <c r="BO124" s="178"/>
      <c r="BP124" s="178"/>
      <c r="BQ124" s="178"/>
      <c r="BR124" s="178"/>
      <c r="BS124" s="178"/>
      <c r="BT124" s="178"/>
      <c r="BU124" s="178"/>
      <c r="BV124" s="178"/>
      <c r="BW124" s="178"/>
      <c r="BX124" s="168"/>
    </row>
    <row r="125" spans="61:76" ht="15">
      <c r="BI125" s="188"/>
      <c r="BJ125" s="46"/>
      <c r="BK125" s="46"/>
      <c r="BL125" s="178"/>
      <c r="BM125" s="178"/>
      <c r="BN125" s="178"/>
      <c r="BO125" s="178"/>
      <c r="BP125" s="178"/>
      <c r="BQ125" s="178"/>
      <c r="BR125" s="178"/>
      <c r="BS125" s="178"/>
      <c r="BT125" s="178"/>
      <c r="BU125" s="178"/>
      <c r="BV125" s="178"/>
      <c r="BW125" s="178"/>
      <c r="BX125" s="168"/>
    </row>
    <row r="126" spans="61:76" ht="15">
      <c r="BI126" s="188"/>
      <c r="BJ126" s="46"/>
      <c r="BK126" s="46"/>
      <c r="BL126" s="178"/>
      <c r="BM126" s="178"/>
      <c r="BN126" s="178"/>
      <c r="BO126" s="178"/>
      <c r="BP126" s="178"/>
      <c r="BQ126" s="178"/>
      <c r="BR126" s="178"/>
      <c r="BS126" s="178"/>
      <c r="BT126" s="178"/>
      <c r="BU126" s="178"/>
      <c r="BV126" s="178"/>
      <c r="BW126" s="178"/>
      <c r="BX126" s="168"/>
    </row>
    <row r="127" spans="61:76" ht="15">
      <c r="BI127" s="188"/>
      <c r="BJ127" s="46"/>
      <c r="BK127" s="46"/>
      <c r="BL127" s="178"/>
      <c r="BM127" s="178"/>
      <c r="BN127" s="178"/>
      <c r="BO127" s="178"/>
      <c r="BP127" s="178"/>
      <c r="BQ127" s="178"/>
      <c r="BR127" s="178"/>
      <c r="BS127" s="178"/>
      <c r="BT127" s="178"/>
      <c r="BU127" s="178"/>
      <c r="BV127" s="178"/>
      <c r="BW127" s="178"/>
      <c r="BX127" s="168"/>
    </row>
    <row r="128" spans="61:76" ht="15">
      <c r="BI128" s="188"/>
      <c r="BJ128" s="46"/>
      <c r="BK128" s="46"/>
      <c r="BL128" s="178"/>
      <c r="BM128" s="178"/>
      <c r="BN128" s="178"/>
      <c r="BO128" s="178"/>
      <c r="BP128" s="178"/>
      <c r="BQ128" s="178"/>
      <c r="BR128" s="178"/>
      <c r="BS128" s="178"/>
      <c r="BT128" s="178"/>
      <c r="BU128" s="178"/>
      <c r="BV128" s="178"/>
      <c r="BW128" s="178"/>
      <c r="BX128" s="168"/>
    </row>
    <row r="129" spans="61:76" ht="15">
      <c r="BI129" s="183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</row>
    <row r="130" spans="61:76" ht="15">
      <c r="BI130" s="18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33"/>
      <c r="BT130" s="33"/>
      <c r="BU130" s="33"/>
      <c r="BV130" s="33"/>
      <c r="BW130" s="33"/>
      <c r="BX130" s="58"/>
    </row>
    <row r="131" spans="61:76" ht="15"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33"/>
      <c r="BT131" s="33"/>
      <c r="BU131" s="33"/>
      <c r="BV131" s="33"/>
      <c r="BW131" s="33"/>
      <c r="BX131" s="58"/>
    </row>
  </sheetData>
  <sheetProtection/>
  <mergeCells count="79">
    <mergeCell ref="BU104:BU105"/>
    <mergeCell ref="BV104:BV105"/>
    <mergeCell ref="BJ31:BS31"/>
    <mergeCell ref="BW104:BW105"/>
    <mergeCell ref="BT104:BT105"/>
    <mergeCell ref="BJ103:BW103"/>
    <mergeCell ref="BJ62:BS62"/>
    <mergeCell ref="BV2:BV3"/>
    <mergeCell ref="BW2:BX2"/>
    <mergeCell ref="BV31:BV32"/>
    <mergeCell ref="BW31:BX31"/>
    <mergeCell ref="BW62:BX62"/>
    <mergeCell ref="A2:A3"/>
    <mergeCell ref="B2:J2"/>
    <mergeCell ref="B31:J31"/>
    <mergeCell ref="M2:M3"/>
    <mergeCell ref="BI2:BI3"/>
    <mergeCell ref="BJ2:BS2"/>
    <mergeCell ref="N2:V2"/>
    <mergeCell ref="N31:V31"/>
    <mergeCell ref="Y2:Y3"/>
    <mergeCell ref="AL2:AN2"/>
    <mergeCell ref="AL31:AN31"/>
    <mergeCell ref="AA2:AF2"/>
    <mergeCell ref="AA31:AF31"/>
    <mergeCell ref="AJ2:AJ3"/>
    <mergeCell ref="BB3:BB4"/>
    <mergeCell ref="BC3:BC4"/>
    <mergeCell ref="BD3:BD4"/>
    <mergeCell ref="AS32:BF32"/>
    <mergeCell ref="AW3:AW4"/>
    <mergeCell ref="AX3:AX4"/>
    <mergeCell ref="AY3:AY4"/>
    <mergeCell ref="BE3:BE4"/>
    <mergeCell ref="BF3:BF4"/>
    <mergeCell ref="AS3:AS4"/>
    <mergeCell ref="AT3:AT4"/>
    <mergeCell ref="AU3:AU4"/>
    <mergeCell ref="AV3:AV4"/>
    <mergeCell ref="AZ3:AZ4"/>
    <mergeCell ref="BA3:BA4"/>
    <mergeCell ref="AX33:AX34"/>
    <mergeCell ref="BG3:BG4"/>
    <mergeCell ref="AY33:AY34"/>
    <mergeCell ref="AZ33:AZ34"/>
    <mergeCell ref="AS33:AS34"/>
    <mergeCell ref="AT33:AT34"/>
    <mergeCell ref="AU33:AU34"/>
    <mergeCell ref="AV33:AV34"/>
    <mergeCell ref="BE33:BE34"/>
    <mergeCell ref="BF33:BF34"/>
    <mergeCell ref="AS63:AS64"/>
    <mergeCell ref="AT63:AT64"/>
    <mergeCell ref="AU63:AU64"/>
    <mergeCell ref="AV63:AV64"/>
    <mergeCell ref="AS62:BF62"/>
    <mergeCell ref="BA33:BA34"/>
    <mergeCell ref="BB33:BB34"/>
    <mergeCell ref="BC33:BC34"/>
    <mergeCell ref="BD33:BD34"/>
    <mergeCell ref="AW33:AW34"/>
    <mergeCell ref="BA63:BA64"/>
    <mergeCell ref="BB63:BB64"/>
    <mergeCell ref="BC63:BC64"/>
    <mergeCell ref="BD63:BD64"/>
    <mergeCell ref="AW63:AW64"/>
    <mergeCell ref="AX63:AX64"/>
    <mergeCell ref="AY63:AY64"/>
    <mergeCell ref="AZ63:AZ64"/>
    <mergeCell ref="CA2:CA3"/>
    <mergeCell ref="CB2:CE2"/>
    <mergeCell ref="CB31:CE31"/>
    <mergeCell ref="CA62:CA63"/>
    <mergeCell ref="CB62:CE62"/>
    <mergeCell ref="BE63:BE64"/>
    <mergeCell ref="BF63:BF64"/>
    <mergeCell ref="BG63:BG64"/>
    <mergeCell ref="BG33:BG34"/>
    <mergeCell ref="AS2:BF2"/>
  </mergeCells>
  <printOptions/>
  <pageMargins left="0.25" right="0.25" top="0.25" bottom="0.42" header="0.25" footer="0.25"/>
  <pageSetup horizontalDpi="300" verticalDpi="300" orientation="landscape" paperSize="9" scale="61" r:id="rId2"/>
  <headerFooter alignWithMargins="0">
    <oddFooter>&amp;L2011 Census Detailed Characteristics - Cultural Characteristics - &amp;A &amp;R&amp;P</oddFooter>
  </headerFooter>
  <rowBreaks count="1" manualBreakCount="1">
    <brk id="60" max="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64"/>
  <sheetViews>
    <sheetView zoomScalePageLayoutView="0" workbookViewId="0" topLeftCell="AJ1">
      <selection activeCell="AR1" sqref="AR1"/>
    </sheetView>
  </sheetViews>
  <sheetFormatPr defaultColWidth="9.140625" defaultRowHeight="12.75"/>
  <cols>
    <col min="1" max="1" width="51.7109375" style="59" customWidth="1"/>
    <col min="2" max="2" width="20.8515625" style="59" customWidth="1"/>
    <col min="3" max="3" width="12.28125" style="59" customWidth="1"/>
    <col min="4" max="4" width="19.8515625" style="59" customWidth="1"/>
    <col min="5" max="5" width="12.7109375" style="59" customWidth="1"/>
    <col min="6" max="6" width="14.7109375" style="59" customWidth="1"/>
    <col min="7" max="7" width="14.140625" style="59" customWidth="1"/>
    <col min="8" max="8" width="11.421875" style="59" customWidth="1"/>
    <col min="9" max="9" width="12.140625" style="59" customWidth="1"/>
    <col min="10" max="10" width="8.7109375" style="59" customWidth="1"/>
    <col min="11" max="11" width="12.140625" style="59" customWidth="1"/>
    <col min="12" max="12" width="12.421875" style="59" customWidth="1"/>
    <col min="13" max="13" width="20.00390625" style="59" customWidth="1"/>
    <col min="14" max="14" width="12.8515625" style="59" customWidth="1"/>
    <col min="15" max="15" width="10.00390625" style="59" customWidth="1"/>
    <col min="16" max="42" width="9.140625" style="59" customWidth="1"/>
    <col min="43" max="43" width="1.57421875" style="59" customWidth="1"/>
    <col min="44" max="44" width="70.140625" style="59" customWidth="1"/>
    <col min="45" max="45" width="6.421875" style="59" customWidth="1"/>
    <col min="46" max="46" width="5.7109375" style="59" customWidth="1"/>
    <col min="47" max="47" width="11.7109375" style="59" customWidth="1"/>
    <col min="48" max="48" width="6.28125" style="59" customWidth="1"/>
    <col min="49" max="49" width="9.00390625" style="59" customWidth="1"/>
    <col min="50" max="50" width="6.421875" style="59" customWidth="1"/>
    <col min="51" max="51" width="5.421875" style="59" customWidth="1"/>
    <col min="52" max="52" width="5.7109375" style="59" customWidth="1"/>
    <col min="53" max="53" width="9.28125" style="59" customWidth="1"/>
    <col min="54" max="54" width="8.140625" style="59" customWidth="1"/>
    <col min="55" max="55" width="10.421875" style="59" customWidth="1"/>
    <col min="56" max="56" width="7.00390625" style="59" customWidth="1"/>
    <col min="57" max="57" width="5.28125" style="59" customWidth="1"/>
    <col min="58" max="58" width="6.7109375" style="59" customWidth="1"/>
    <col min="59" max="59" width="9.00390625" style="59" customWidth="1"/>
    <col min="60" max="60" width="5.8515625" style="59" customWidth="1"/>
    <col min="61" max="61" width="5.57421875" style="59" customWidth="1"/>
    <col min="62" max="62" width="5.7109375" style="59" customWidth="1"/>
    <col min="63" max="63" width="7.421875" style="59" customWidth="1"/>
    <col min="64" max="64" width="7.7109375" style="59" customWidth="1"/>
    <col min="65" max="65" width="6.7109375" style="59" customWidth="1"/>
    <col min="66" max="66" width="12.00390625" style="59" customWidth="1"/>
    <col min="67" max="67" width="8.140625" style="59" customWidth="1"/>
    <col min="68" max="16384" width="9.140625" style="59" customWidth="1"/>
  </cols>
  <sheetData>
    <row r="1" spans="1:49" ht="15">
      <c r="A1" s="56" t="s">
        <v>340</v>
      </c>
      <c r="F1" s="159"/>
      <c r="AR1" s="56" t="s">
        <v>363</v>
      </c>
      <c r="AW1" s="159"/>
    </row>
    <row r="2" spans="1:68" ht="15">
      <c r="A2" s="290" t="s">
        <v>155</v>
      </c>
      <c r="B2" s="266" t="s">
        <v>336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04"/>
      <c r="P2" s="95"/>
      <c r="AR2" s="290" t="s">
        <v>155</v>
      </c>
      <c r="AS2" s="288" t="s">
        <v>336</v>
      </c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04"/>
    </row>
    <row r="3" spans="1:68" ht="15" customHeight="1">
      <c r="A3" s="291"/>
      <c r="B3" s="239" t="s">
        <v>200</v>
      </c>
      <c r="C3" s="239" t="s">
        <v>201</v>
      </c>
      <c r="D3" s="239" t="s">
        <v>202</v>
      </c>
      <c r="E3" s="239" t="s">
        <v>203</v>
      </c>
      <c r="F3" s="239" t="s">
        <v>204</v>
      </c>
      <c r="G3" s="239" t="s">
        <v>205</v>
      </c>
      <c r="H3" s="239" t="s">
        <v>206</v>
      </c>
      <c r="I3" s="239" t="s">
        <v>207</v>
      </c>
      <c r="J3" s="239" t="s">
        <v>209</v>
      </c>
      <c r="K3" s="239" t="s">
        <v>210</v>
      </c>
      <c r="L3" s="239" t="s">
        <v>341</v>
      </c>
      <c r="M3" s="239" t="s">
        <v>199</v>
      </c>
      <c r="N3" s="239" t="s">
        <v>208</v>
      </c>
      <c r="O3" s="275" t="s">
        <v>48</v>
      </c>
      <c r="AR3" s="291"/>
      <c r="AS3" s="284" t="s">
        <v>91</v>
      </c>
      <c r="AT3" s="284" t="s">
        <v>93</v>
      </c>
      <c r="AU3" s="284" t="s">
        <v>150</v>
      </c>
      <c r="AV3" s="284" t="s">
        <v>151</v>
      </c>
      <c r="AW3" s="284" t="s">
        <v>136</v>
      </c>
      <c r="AX3" s="284" t="s">
        <v>137</v>
      </c>
      <c r="AY3" s="284" t="s">
        <v>138</v>
      </c>
      <c r="AZ3" s="284" t="s">
        <v>139</v>
      </c>
      <c r="BA3" s="284" t="s">
        <v>140</v>
      </c>
      <c r="BB3" s="284" t="s">
        <v>141</v>
      </c>
      <c r="BC3" s="284" t="s">
        <v>142</v>
      </c>
      <c r="BD3" s="284" t="s">
        <v>143</v>
      </c>
      <c r="BE3" s="284" t="s">
        <v>144</v>
      </c>
      <c r="BF3" s="284" t="s">
        <v>145</v>
      </c>
      <c r="BG3" s="284" t="s">
        <v>146</v>
      </c>
      <c r="BH3" s="284" t="s">
        <v>147</v>
      </c>
      <c r="BI3" s="284" t="s">
        <v>148</v>
      </c>
      <c r="BJ3" s="284" t="s">
        <v>149</v>
      </c>
      <c r="BK3" s="284" t="s">
        <v>364</v>
      </c>
      <c r="BL3" s="284" t="s">
        <v>365</v>
      </c>
      <c r="BM3" s="284" t="s">
        <v>366</v>
      </c>
      <c r="BN3" s="284" t="s">
        <v>367</v>
      </c>
      <c r="BO3" s="284" t="s">
        <v>368</v>
      </c>
      <c r="BP3" s="285" t="s">
        <v>48</v>
      </c>
    </row>
    <row r="4" spans="1:68" ht="15" customHeight="1">
      <c r="A4" s="84"/>
      <c r="B4" s="293"/>
      <c r="C4" s="293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4"/>
      <c r="AR4" s="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6"/>
    </row>
    <row r="5" spans="1:68" ht="15" customHeight="1">
      <c r="A5" s="84"/>
      <c r="B5" s="293"/>
      <c r="C5" s="293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4"/>
      <c r="AR5" s="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6"/>
    </row>
    <row r="6" spans="1:68" ht="15" customHeight="1">
      <c r="A6" s="85"/>
      <c r="B6" s="293"/>
      <c r="C6" s="293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5"/>
      <c r="AR6" s="85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7"/>
    </row>
    <row r="7" spans="1:68" ht="15">
      <c r="A7" s="82" t="s">
        <v>132</v>
      </c>
      <c r="B7" s="71">
        <v>8744</v>
      </c>
      <c r="C7" s="190">
        <v>35159</v>
      </c>
      <c r="D7" s="71">
        <v>62860</v>
      </c>
      <c r="E7" s="190">
        <v>19772</v>
      </c>
      <c r="F7" s="190">
        <v>15915</v>
      </c>
      <c r="G7" s="190">
        <v>7114</v>
      </c>
      <c r="H7" s="190">
        <v>12105</v>
      </c>
      <c r="I7" s="190">
        <v>10364</v>
      </c>
      <c r="J7" s="190">
        <v>4897</v>
      </c>
      <c r="K7" s="190">
        <v>1900</v>
      </c>
      <c r="L7" s="190">
        <v>11052</v>
      </c>
      <c r="M7" s="71">
        <v>43903</v>
      </c>
      <c r="N7" s="206">
        <v>6797</v>
      </c>
      <c r="O7" s="72">
        <f>SUM(B7:L7)</f>
        <v>189882</v>
      </c>
      <c r="AR7" s="213" t="s">
        <v>344</v>
      </c>
      <c r="AS7" s="71">
        <v>27029</v>
      </c>
      <c r="AT7" s="190">
        <v>1782</v>
      </c>
      <c r="AU7" s="71">
        <v>21</v>
      </c>
      <c r="AV7" s="190">
        <v>4433</v>
      </c>
      <c r="AW7" s="190">
        <v>424</v>
      </c>
      <c r="AX7" s="190">
        <v>175</v>
      </c>
      <c r="AY7" s="190">
        <v>292</v>
      </c>
      <c r="AZ7" s="190">
        <v>396</v>
      </c>
      <c r="BA7" s="190">
        <v>887</v>
      </c>
      <c r="BB7" s="190">
        <v>393</v>
      </c>
      <c r="BC7" s="190">
        <v>77</v>
      </c>
      <c r="BD7" s="71">
        <v>433</v>
      </c>
      <c r="BE7" s="190">
        <v>812</v>
      </c>
      <c r="BF7" s="190">
        <v>1551</v>
      </c>
      <c r="BG7" s="190">
        <v>2328</v>
      </c>
      <c r="BH7" s="190">
        <v>491</v>
      </c>
      <c r="BI7" s="190">
        <v>241</v>
      </c>
      <c r="BJ7" s="190">
        <v>341</v>
      </c>
      <c r="BK7" s="190">
        <v>33265</v>
      </c>
      <c r="BL7" s="190">
        <v>1287</v>
      </c>
      <c r="BM7" s="190">
        <v>2602</v>
      </c>
      <c r="BN7" s="190">
        <v>4370</v>
      </c>
      <c r="BO7" s="190">
        <v>582</v>
      </c>
      <c r="BP7" s="72">
        <f>SUM(AS7:BJ7)</f>
        <v>42106</v>
      </c>
    </row>
    <row r="8" spans="1:68" ht="15">
      <c r="A8" s="3" t="s">
        <v>254</v>
      </c>
      <c r="B8" s="4">
        <v>6897</v>
      </c>
      <c r="C8" s="99">
        <v>26663</v>
      </c>
      <c r="D8" s="105">
        <v>47992</v>
      </c>
      <c r="E8" s="99">
        <v>14945</v>
      </c>
      <c r="F8" s="99">
        <v>10353</v>
      </c>
      <c r="G8" s="99">
        <v>4532</v>
      </c>
      <c r="H8" s="99">
        <v>8676</v>
      </c>
      <c r="I8" s="99">
        <v>6604</v>
      </c>
      <c r="J8" s="99">
        <v>3661</v>
      </c>
      <c r="K8" s="99">
        <v>1420</v>
      </c>
      <c r="L8" s="99">
        <v>8176</v>
      </c>
      <c r="M8" s="4">
        <v>33560</v>
      </c>
      <c r="N8" s="205">
        <v>5081</v>
      </c>
      <c r="O8" s="6">
        <f aca="true" t="shared" si="0" ref="O8:O29">SUM(B8:L8)</f>
        <v>139919</v>
      </c>
      <c r="AR8" s="214" t="s">
        <v>345</v>
      </c>
      <c r="AS8" s="105">
        <v>7238</v>
      </c>
      <c r="AT8" s="207">
        <v>646</v>
      </c>
      <c r="AU8" s="105">
        <v>1</v>
      </c>
      <c r="AV8" s="207">
        <v>642</v>
      </c>
      <c r="AW8" s="207">
        <v>63</v>
      </c>
      <c r="AX8" s="207">
        <v>17</v>
      </c>
      <c r="AY8" s="207">
        <v>36</v>
      </c>
      <c r="AZ8" s="207">
        <v>65</v>
      </c>
      <c r="BA8" s="207">
        <v>230</v>
      </c>
      <c r="BB8" s="207">
        <v>77</v>
      </c>
      <c r="BC8" s="207">
        <v>13</v>
      </c>
      <c r="BD8" s="105">
        <v>59</v>
      </c>
      <c r="BE8" s="207">
        <v>152</v>
      </c>
      <c r="BF8" s="207">
        <v>276</v>
      </c>
      <c r="BG8" s="207">
        <v>720</v>
      </c>
      <c r="BH8" s="207">
        <v>65</v>
      </c>
      <c r="BI8" s="207">
        <v>25</v>
      </c>
      <c r="BJ8" s="207">
        <v>60</v>
      </c>
      <c r="BK8" s="207">
        <v>8527</v>
      </c>
      <c r="BL8" s="207">
        <v>181</v>
      </c>
      <c r="BM8" s="207">
        <v>531</v>
      </c>
      <c r="BN8" s="207">
        <v>1061</v>
      </c>
      <c r="BO8" s="207">
        <v>85</v>
      </c>
      <c r="BP8" s="6">
        <f aca="true" t="shared" si="1" ref="BP8:BP28">SUM(AS8:BJ8)</f>
        <v>10385</v>
      </c>
    </row>
    <row r="9" spans="1:68" ht="15">
      <c r="A9" s="3" t="s">
        <v>255</v>
      </c>
      <c r="B9" s="4">
        <v>284</v>
      </c>
      <c r="C9" s="99">
        <v>1305</v>
      </c>
      <c r="D9" s="105">
        <v>2229</v>
      </c>
      <c r="E9" s="99">
        <v>755</v>
      </c>
      <c r="F9" s="99">
        <v>575</v>
      </c>
      <c r="G9" s="99">
        <v>312</v>
      </c>
      <c r="H9" s="99">
        <v>634</v>
      </c>
      <c r="I9" s="99">
        <v>619</v>
      </c>
      <c r="J9" s="99">
        <v>214</v>
      </c>
      <c r="K9" s="99">
        <v>85</v>
      </c>
      <c r="L9" s="99">
        <v>272</v>
      </c>
      <c r="M9" s="4">
        <v>1589</v>
      </c>
      <c r="N9" s="205">
        <v>299</v>
      </c>
      <c r="O9" s="6">
        <f t="shared" si="0"/>
        <v>7284</v>
      </c>
      <c r="AR9" s="214" t="s">
        <v>346</v>
      </c>
      <c r="AS9" s="105">
        <v>19791</v>
      </c>
      <c r="AT9" s="207">
        <v>1136</v>
      </c>
      <c r="AU9" s="105">
        <v>20</v>
      </c>
      <c r="AV9" s="207">
        <v>3791</v>
      </c>
      <c r="AW9" s="207">
        <v>361</v>
      </c>
      <c r="AX9" s="207">
        <v>158</v>
      </c>
      <c r="AY9" s="207">
        <v>256</v>
      </c>
      <c r="AZ9" s="207">
        <v>331</v>
      </c>
      <c r="BA9" s="207">
        <v>657</v>
      </c>
      <c r="BB9" s="207">
        <v>316</v>
      </c>
      <c r="BC9" s="207">
        <v>64</v>
      </c>
      <c r="BD9" s="105">
        <v>374</v>
      </c>
      <c r="BE9" s="207">
        <v>660</v>
      </c>
      <c r="BF9" s="207">
        <v>1275</v>
      </c>
      <c r="BG9" s="207">
        <v>1608</v>
      </c>
      <c r="BH9" s="207">
        <v>426</v>
      </c>
      <c r="BI9" s="207">
        <v>216</v>
      </c>
      <c r="BJ9" s="207">
        <v>281</v>
      </c>
      <c r="BK9" s="207">
        <v>24738</v>
      </c>
      <c r="BL9" s="207">
        <v>1106</v>
      </c>
      <c r="BM9" s="207">
        <v>2071</v>
      </c>
      <c r="BN9" s="207">
        <v>3309</v>
      </c>
      <c r="BO9" s="207">
        <v>497</v>
      </c>
      <c r="BP9" s="6">
        <f t="shared" si="1"/>
        <v>31721</v>
      </c>
    </row>
    <row r="10" spans="1:68" ht="15">
      <c r="A10" s="3" t="s">
        <v>256</v>
      </c>
      <c r="B10" s="4">
        <v>3</v>
      </c>
      <c r="C10" s="99">
        <v>13</v>
      </c>
      <c r="D10" s="105">
        <v>27</v>
      </c>
      <c r="E10" s="99">
        <v>8</v>
      </c>
      <c r="F10" s="99">
        <v>14</v>
      </c>
      <c r="G10" s="99">
        <v>11</v>
      </c>
      <c r="H10" s="99">
        <v>11</v>
      </c>
      <c r="I10" s="99">
        <v>10</v>
      </c>
      <c r="J10" s="99">
        <v>21</v>
      </c>
      <c r="K10" s="99">
        <v>1</v>
      </c>
      <c r="L10" s="99">
        <v>11</v>
      </c>
      <c r="M10" s="4">
        <v>16</v>
      </c>
      <c r="N10" s="205">
        <v>22</v>
      </c>
      <c r="O10" s="6">
        <f t="shared" si="0"/>
        <v>130</v>
      </c>
      <c r="AR10" s="213" t="s">
        <v>347</v>
      </c>
      <c r="AS10" s="71">
        <v>35684</v>
      </c>
      <c r="AT10" s="190">
        <v>1760</v>
      </c>
      <c r="AU10" s="71">
        <v>27</v>
      </c>
      <c r="AV10" s="190">
        <v>9527</v>
      </c>
      <c r="AW10" s="190">
        <v>630</v>
      </c>
      <c r="AX10" s="190">
        <v>280</v>
      </c>
      <c r="AY10" s="190">
        <v>436</v>
      </c>
      <c r="AZ10" s="190">
        <v>597</v>
      </c>
      <c r="BA10" s="190">
        <v>1658</v>
      </c>
      <c r="BB10" s="190">
        <v>1728</v>
      </c>
      <c r="BC10" s="190">
        <v>267</v>
      </c>
      <c r="BD10" s="71">
        <v>743</v>
      </c>
      <c r="BE10" s="190">
        <v>1741</v>
      </c>
      <c r="BF10" s="190">
        <v>3038</v>
      </c>
      <c r="BG10" s="190">
        <v>2936</v>
      </c>
      <c r="BH10" s="190">
        <v>748</v>
      </c>
      <c r="BI10" s="190">
        <v>444</v>
      </c>
      <c r="BJ10" s="190">
        <v>772</v>
      </c>
      <c r="BK10" s="190">
        <v>46998</v>
      </c>
      <c r="BL10" s="190">
        <v>1943</v>
      </c>
      <c r="BM10" s="190">
        <v>6137</v>
      </c>
      <c r="BN10" s="190">
        <v>6722</v>
      </c>
      <c r="BO10" s="190">
        <v>1216</v>
      </c>
      <c r="BP10" s="72">
        <f t="shared" si="1"/>
        <v>63016</v>
      </c>
    </row>
    <row r="11" spans="1:68" ht="15">
      <c r="A11" s="3" t="s">
        <v>257</v>
      </c>
      <c r="B11" s="42">
        <v>1560</v>
      </c>
      <c r="C11" s="99">
        <v>7178</v>
      </c>
      <c r="D11" s="105">
        <v>12612</v>
      </c>
      <c r="E11" s="99">
        <v>4064</v>
      </c>
      <c r="F11" s="99">
        <v>4973</v>
      </c>
      <c r="G11" s="99">
        <v>2259</v>
      </c>
      <c r="H11" s="99">
        <v>2784</v>
      </c>
      <c r="I11" s="99">
        <v>3131</v>
      </c>
      <c r="J11" s="99">
        <v>1001</v>
      </c>
      <c r="K11" s="99">
        <v>394</v>
      </c>
      <c r="L11" s="99">
        <v>2593</v>
      </c>
      <c r="M11" s="42">
        <v>8738</v>
      </c>
      <c r="N11" s="205">
        <v>1395</v>
      </c>
      <c r="O11" s="6">
        <f t="shared" si="0"/>
        <v>42549</v>
      </c>
      <c r="AR11" s="215" t="s">
        <v>348</v>
      </c>
      <c r="AS11" s="211">
        <v>2026</v>
      </c>
      <c r="AT11" s="212">
        <v>199</v>
      </c>
      <c r="AU11" s="69">
        <v>0</v>
      </c>
      <c r="AV11" s="212">
        <v>230</v>
      </c>
      <c r="AW11" s="212">
        <v>14</v>
      </c>
      <c r="AX11" s="212">
        <v>0</v>
      </c>
      <c r="AY11" s="212">
        <v>14</v>
      </c>
      <c r="AZ11" s="212">
        <v>11</v>
      </c>
      <c r="BA11" s="212">
        <v>116</v>
      </c>
      <c r="BB11" s="212">
        <v>58</v>
      </c>
      <c r="BC11" s="212">
        <v>10</v>
      </c>
      <c r="BD11" s="211">
        <v>41</v>
      </c>
      <c r="BE11" s="212">
        <v>54</v>
      </c>
      <c r="BF11" s="212">
        <v>40</v>
      </c>
      <c r="BG11" s="212">
        <v>190</v>
      </c>
      <c r="BH11" s="212">
        <v>10</v>
      </c>
      <c r="BI11" s="212">
        <v>14</v>
      </c>
      <c r="BJ11" s="212">
        <v>18</v>
      </c>
      <c r="BK11" s="212">
        <v>2455</v>
      </c>
      <c r="BL11" s="212">
        <v>39</v>
      </c>
      <c r="BM11" s="212">
        <v>279</v>
      </c>
      <c r="BN11" s="212">
        <v>240</v>
      </c>
      <c r="BO11" s="212">
        <v>32</v>
      </c>
      <c r="BP11" s="70">
        <f t="shared" si="1"/>
        <v>3045</v>
      </c>
    </row>
    <row r="12" spans="1:68" ht="15">
      <c r="A12" s="67" t="s">
        <v>258</v>
      </c>
      <c r="B12" s="71">
        <v>233</v>
      </c>
      <c r="C12" s="190">
        <v>1119</v>
      </c>
      <c r="D12" s="71">
        <v>2223</v>
      </c>
      <c r="E12" s="190">
        <v>983</v>
      </c>
      <c r="F12" s="190">
        <v>582</v>
      </c>
      <c r="G12" s="190">
        <v>385</v>
      </c>
      <c r="H12" s="190">
        <v>882</v>
      </c>
      <c r="I12" s="190">
        <v>519</v>
      </c>
      <c r="J12" s="190">
        <v>523</v>
      </c>
      <c r="K12" s="190">
        <v>244</v>
      </c>
      <c r="L12" s="190">
        <v>1633</v>
      </c>
      <c r="M12" s="71">
        <v>1352</v>
      </c>
      <c r="N12" s="206">
        <v>767</v>
      </c>
      <c r="O12" s="72">
        <f t="shared" si="0"/>
        <v>9326</v>
      </c>
      <c r="AR12" s="215" t="s">
        <v>349</v>
      </c>
      <c r="AS12" s="69">
        <v>18309</v>
      </c>
      <c r="AT12" s="212">
        <v>775</v>
      </c>
      <c r="AU12" s="69">
        <v>13</v>
      </c>
      <c r="AV12" s="212">
        <v>5468</v>
      </c>
      <c r="AW12" s="212">
        <v>119</v>
      </c>
      <c r="AX12" s="212">
        <v>91</v>
      </c>
      <c r="AY12" s="212">
        <v>195</v>
      </c>
      <c r="AZ12" s="212">
        <v>254</v>
      </c>
      <c r="BA12" s="212">
        <v>1162</v>
      </c>
      <c r="BB12" s="212">
        <v>1335</v>
      </c>
      <c r="BC12" s="212">
        <v>193</v>
      </c>
      <c r="BD12" s="69">
        <v>451</v>
      </c>
      <c r="BE12" s="212">
        <v>1214</v>
      </c>
      <c r="BF12" s="212">
        <v>1005</v>
      </c>
      <c r="BG12" s="212">
        <v>700</v>
      </c>
      <c r="BH12" s="212">
        <v>201</v>
      </c>
      <c r="BI12" s="212">
        <v>298</v>
      </c>
      <c r="BJ12" s="212">
        <v>432</v>
      </c>
      <c r="BK12" s="212">
        <v>24565</v>
      </c>
      <c r="BL12" s="212">
        <v>659</v>
      </c>
      <c r="BM12" s="212">
        <v>4355</v>
      </c>
      <c r="BN12" s="212">
        <v>1906</v>
      </c>
      <c r="BO12" s="212">
        <v>730</v>
      </c>
      <c r="BP12" s="70">
        <f t="shared" si="1"/>
        <v>32215</v>
      </c>
    </row>
    <row r="13" spans="1:68" ht="15">
      <c r="A13" s="3" t="s">
        <v>259</v>
      </c>
      <c r="B13" s="4">
        <v>43</v>
      </c>
      <c r="C13" s="99">
        <v>161</v>
      </c>
      <c r="D13" s="105">
        <v>513</v>
      </c>
      <c r="E13" s="99">
        <v>289</v>
      </c>
      <c r="F13" s="99">
        <v>138</v>
      </c>
      <c r="G13" s="99">
        <v>120</v>
      </c>
      <c r="H13" s="99">
        <v>335</v>
      </c>
      <c r="I13" s="99">
        <v>184</v>
      </c>
      <c r="J13" s="99">
        <v>243</v>
      </c>
      <c r="K13" s="99">
        <v>122</v>
      </c>
      <c r="L13" s="99">
        <v>540</v>
      </c>
      <c r="M13" s="4">
        <v>204</v>
      </c>
      <c r="N13" s="205">
        <v>365</v>
      </c>
      <c r="O13" s="6">
        <f t="shared" si="0"/>
        <v>2688</v>
      </c>
      <c r="AR13" s="214" t="s">
        <v>371</v>
      </c>
      <c r="AS13" s="105">
        <v>7119</v>
      </c>
      <c r="AT13" s="207">
        <v>322</v>
      </c>
      <c r="AU13" s="105">
        <v>5</v>
      </c>
      <c r="AV13" s="207">
        <v>2117</v>
      </c>
      <c r="AW13" s="207">
        <v>39</v>
      </c>
      <c r="AX13" s="207">
        <v>20</v>
      </c>
      <c r="AY13" s="207">
        <v>92</v>
      </c>
      <c r="AZ13" s="207">
        <v>106</v>
      </c>
      <c r="BA13" s="207">
        <v>371</v>
      </c>
      <c r="BB13" s="207">
        <v>183</v>
      </c>
      <c r="BC13" s="207">
        <v>35</v>
      </c>
      <c r="BD13" s="105">
        <v>179</v>
      </c>
      <c r="BE13" s="207">
        <v>334</v>
      </c>
      <c r="BF13" s="99">
        <v>162</v>
      </c>
      <c r="BG13" s="99">
        <v>158</v>
      </c>
      <c r="BH13" s="99">
        <v>61</v>
      </c>
      <c r="BI13" s="99">
        <v>69</v>
      </c>
      <c r="BJ13" s="99">
        <v>146</v>
      </c>
      <c r="BK13" s="99">
        <v>9563</v>
      </c>
      <c r="BL13" s="99">
        <v>257</v>
      </c>
      <c r="BM13" s="99">
        <v>1102</v>
      </c>
      <c r="BN13" s="99">
        <v>381</v>
      </c>
      <c r="BO13" s="99">
        <v>215</v>
      </c>
      <c r="BP13" s="6">
        <f t="shared" si="1"/>
        <v>11518</v>
      </c>
    </row>
    <row r="14" spans="1:68" ht="15">
      <c r="A14" s="3" t="s">
        <v>260</v>
      </c>
      <c r="B14" s="4">
        <v>31</v>
      </c>
      <c r="C14" s="99">
        <v>115</v>
      </c>
      <c r="D14" s="105">
        <v>265</v>
      </c>
      <c r="E14" s="99">
        <v>119</v>
      </c>
      <c r="F14" s="99">
        <v>83</v>
      </c>
      <c r="G14" s="99">
        <v>58</v>
      </c>
      <c r="H14" s="99">
        <v>107</v>
      </c>
      <c r="I14" s="99">
        <v>68</v>
      </c>
      <c r="J14" s="99">
        <v>66</v>
      </c>
      <c r="K14" s="99">
        <v>39</v>
      </c>
      <c r="L14" s="99">
        <v>232</v>
      </c>
      <c r="M14" s="4">
        <v>146</v>
      </c>
      <c r="N14" s="205">
        <v>105</v>
      </c>
      <c r="O14" s="6">
        <f t="shared" si="0"/>
        <v>1183</v>
      </c>
      <c r="AR14" s="214" t="s">
        <v>370</v>
      </c>
      <c r="AS14" s="105">
        <v>9281</v>
      </c>
      <c r="AT14" s="207">
        <v>336</v>
      </c>
      <c r="AU14" s="105">
        <v>5</v>
      </c>
      <c r="AV14" s="207">
        <v>3084</v>
      </c>
      <c r="AW14" s="207">
        <v>67</v>
      </c>
      <c r="AX14" s="207">
        <v>62</v>
      </c>
      <c r="AY14" s="207">
        <v>87</v>
      </c>
      <c r="AZ14" s="207">
        <v>131</v>
      </c>
      <c r="BA14" s="207">
        <v>505</v>
      </c>
      <c r="BB14" s="207">
        <v>981</v>
      </c>
      <c r="BC14" s="207">
        <v>126</v>
      </c>
      <c r="BD14" s="105">
        <v>196</v>
      </c>
      <c r="BE14" s="207">
        <v>717</v>
      </c>
      <c r="BF14" s="99">
        <v>699</v>
      </c>
      <c r="BG14" s="99">
        <v>328</v>
      </c>
      <c r="BH14" s="99">
        <v>114</v>
      </c>
      <c r="BI14" s="99">
        <v>206</v>
      </c>
      <c r="BJ14" s="99">
        <v>241</v>
      </c>
      <c r="BK14" s="99">
        <v>12706</v>
      </c>
      <c r="BL14" s="99">
        <v>347</v>
      </c>
      <c r="BM14" s="99">
        <v>2525</v>
      </c>
      <c r="BN14" s="99">
        <v>1141</v>
      </c>
      <c r="BO14" s="99">
        <v>447</v>
      </c>
      <c r="BP14" s="6">
        <f t="shared" si="1"/>
        <v>17166</v>
      </c>
    </row>
    <row r="15" spans="1:68" ht="15">
      <c r="A15" s="3" t="s">
        <v>261</v>
      </c>
      <c r="B15" s="4">
        <v>94</v>
      </c>
      <c r="C15" s="99">
        <v>418</v>
      </c>
      <c r="D15" s="105">
        <v>702</v>
      </c>
      <c r="E15" s="99">
        <v>236</v>
      </c>
      <c r="F15" s="99">
        <v>161</v>
      </c>
      <c r="G15" s="99">
        <v>58</v>
      </c>
      <c r="H15" s="99">
        <v>164</v>
      </c>
      <c r="I15" s="99">
        <v>86</v>
      </c>
      <c r="J15" s="99">
        <v>86</v>
      </c>
      <c r="K15" s="99">
        <v>26</v>
      </c>
      <c r="L15" s="99">
        <v>360</v>
      </c>
      <c r="M15" s="4">
        <v>512</v>
      </c>
      <c r="N15" s="205">
        <v>112</v>
      </c>
      <c r="O15" s="6">
        <f t="shared" si="0"/>
        <v>2391</v>
      </c>
      <c r="AR15" s="214" t="s">
        <v>369</v>
      </c>
      <c r="AS15" s="105">
        <v>1909</v>
      </c>
      <c r="AT15" s="207">
        <v>117</v>
      </c>
      <c r="AU15" s="105">
        <v>3</v>
      </c>
      <c r="AV15" s="207">
        <v>267</v>
      </c>
      <c r="AW15" s="207">
        <v>13</v>
      </c>
      <c r="AX15" s="207">
        <v>9</v>
      </c>
      <c r="AY15" s="207">
        <v>16</v>
      </c>
      <c r="AZ15" s="207">
        <v>17</v>
      </c>
      <c r="BA15" s="207">
        <v>286</v>
      </c>
      <c r="BB15" s="207">
        <v>171</v>
      </c>
      <c r="BC15" s="207">
        <v>32</v>
      </c>
      <c r="BD15" s="105">
        <v>76</v>
      </c>
      <c r="BE15" s="207">
        <v>163</v>
      </c>
      <c r="BF15" s="99">
        <v>144</v>
      </c>
      <c r="BG15" s="99">
        <v>214</v>
      </c>
      <c r="BH15" s="99">
        <v>26</v>
      </c>
      <c r="BI15" s="99">
        <v>23</v>
      </c>
      <c r="BJ15" s="99">
        <v>45</v>
      </c>
      <c r="BK15" s="99">
        <v>2296</v>
      </c>
      <c r="BL15" s="99">
        <v>55</v>
      </c>
      <c r="BM15" s="99">
        <v>728</v>
      </c>
      <c r="BN15" s="99">
        <v>384</v>
      </c>
      <c r="BO15" s="99">
        <v>68</v>
      </c>
      <c r="BP15" s="6">
        <f t="shared" si="1"/>
        <v>3531</v>
      </c>
    </row>
    <row r="16" spans="1:68" ht="15">
      <c r="A16" s="3" t="s">
        <v>262</v>
      </c>
      <c r="B16" s="4">
        <v>65</v>
      </c>
      <c r="C16" s="99">
        <v>425</v>
      </c>
      <c r="D16" s="105">
        <v>743</v>
      </c>
      <c r="E16" s="99">
        <v>339</v>
      </c>
      <c r="F16" s="99">
        <v>200</v>
      </c>
      <c r="G16" s="99">
        <v>149</v>
      </c>
      <c r="H16" s="99">
        <v>276</v>
      </c>
      <c r="I16" s="99">
        <v>181</v>
      </c>
      <c r="J16" s="99">
        <v>128</v>
      </c>
      <c r="K16" s="99">
        <v>57</v>
      </c>
      <c r="L16" s="99">
        <v>501</v>
      </c>
      <c r="M16" s="4">
        <v>490</v>
      </c>
      <c r="N16" s="205">
        <v>185</v>
      </c>
      <c r="O16" s="6">
        <f t="shared" si="0"/>
        <v>3064</v>
      </c>
      <c r="AR16" s="215" t="s">
        <v>350</v>
      </c>
      <c r="AS16" s="69">
        <v>10156</v>
      </c>
      <c r="AT16" s="212">
        <v>448</v>
      </c>
      <c r="AU16" s="69">
        <v>4</v>
      </c>
      <c r="AV16" s="212">
        <v>2830</v>
      </c>
      <c r="AW16" s="212">
        <v>116</v>
      </c>
      <c r="AX16" s="212">
        <v>71</v>
      </c>
      <c r="AY16" s="212">
        <v>152</v>
      </c>
      <c r="AZ16" s="212">
        <v>181</v>
      </c>
      <c r="BA16" s="212">
        <v>133</v>
      </c>
      <c r="BB16" s="212">
        <v>60</v>
      </c>
      <c r="BC16" s="212">
        <v>13</v>
      </c>
      <c r="BD16" s="69">
        <v>157</v>
      </c>
      <c r="BE16" s="212">
        <v>171</v>
      </c>
      <c r="BF16" s="212">
        <v>289</v>
      </c>
      <c r="BG16" s="212">
        <v>359</v>
      </c>
      <c r="BH16" s="212">
        <v>93</v>
      </c>
      <c r="BI16" s="212">
        <v>49</v>
      </c>
      <c r="BJ16" s="212">
        <v>136</v>
      </c>
      <c r="BK16" s="212">
        <v>13438</v>
      </c>
      <c r="BL16" s="212">
        <v>520</v>
      </c>
      <c r="BM16" s="212">
        <v>534</v>
      </c>
      <c r="BN16" s="212">
        <v>741</v>
      </c>
      <c r="BO16" s="212">
        <v>185</v>
      </c>
      <c r="BP16" s="70">
        <f t="shared" si="1"/>
        <v>15418</v>
      </c>
    </row>
    <row r="17" spans="1:68" ht="15">
      <c r="A17" s="67" t="s">
        <v>133</v>
      </c>
      <c r="B17" s="71">
        <v>510</v>
      </c>
      <c r="C17" s="190">
        <v>3547</v>
      </c>
      <c r="D17" s="71">
        <v>5260</v>
      </c>
      <c r="E17" s="190">
        <v>2658</v>
      </c>
      <c r="F17" s="190">
        <v>2415</v>
      </c>
      <c r="G17" s="190">
        <v>1073</v>
      </c>
      <c r="H17" s="190">
        <v>2719</v>
      </c>
      <c r="I17" s="190">
        <v>1393</v>
      </c>
      <c r="J17" s="190">
        <v>2945</v>
      </c>
      <c r="K17" s="190">
        <v>409</v>
      </c>
      <c r="L17" s="190">
        <v>4210</v>
      </c>
      <c r="M17" s="71">
        <v>4057</v>
      </c>
      <c r="N17" s="206">
        <v>3354</v>
      </c>
      <c r="O17" s="72">
        <f t="shared" si="0"/>
        <v>27139</v>
      </c>
      <c r="AR17" s="214" t="s">
        <v>351</v>
      </c>
      <c r="AS17" s="105">
        <v>8452</v>
      </c>
      <c r="AT17" s="207">
        <v>384</v>
      </c>
      <c r="AU17" s="105">
        <v>0</v>
      </c>
      <c r="AV17" s="207">
        <v>2335</v>
      </c>
      <c r="AW17" s="207">
        <v>75</v>
      </c>
      <c r="AX17" s="207">
        <v>47</v>
      </c>
      <c r="AY17" s="207">
        <v>131</v>
      </c>
      <c r="AZ17" s="207">
        <v>140</v>
      </c>
      <c r="BA17" s="207">
        <v>107</v>
      </c>
      <c r="BB17" s="207">
        <v>23</v>
      </c>
      <c r="BC17" s="207">
        <v>11</v>
      </c>
      <c r="BD17" s="105">
        <v>133</v>
      </c>
      <c r="BE17" s="207">
        <v>118</v>
      </c>
      <c r="BF17" s="99">
        <v>117</v>
      </c>
      <c r="BG17" s="99">
        <v>144</v>
      </c>
      <c r="BH17" s="99">
        <v>40</v>
      </c>
      <c r="BI17" s="99">
        <v>35</v>
      </c>
      <c r="BJ17" s="99">
        <v>99</v>
      </c>
      <c r="BK17" s="99">
        <v>11171</v>
      </c>
      <c r="BL17" s="99">
        <v>393</v>
      </c>
      <c r="BM17" s="99">
        <v>392</v>
      </c>
      <c r="BN17" s="99">
        <v>301</v>
      </c>
      <c r="BO17" s="99">
        <v>134</v>
      </c>
      <c r="BP17" s="6">
        <f t="shared" si="1"/>
        <v>12391</v>
      </c>
    </row>
    <row r="18" spans="1:68" ht="15">
      <c r="A18" s="3" t="s">
        <v>263</v>
      </c>
      <c r="B18" s="42">
        <v>188</v>
      </c>
      <c r="C18" s="99">
        <v>1401</v>
      </c>
      <c r="D18" s="105">
        <v>1712</v>
      </c>
      <c r="E18" s="99">
        <v>935</v>
      </c>
      <c r="F18" s="99">
        <v>656</v>
      </c>
      <c r="G18" s="99">
        <v>261</v>
      </c>
      <c r="H18" s="99">
        <v>755</v>
      </c>
      <c r="I18" s="99">
        <v>331</v>
      </c>
      <c r="J18" s="99">
        <v>514</v>
      </c>
      <c r="K18" s="99">
        <v>108</v>
      </c>
      <c r="L18" s="99">
        <v>876</v>
      </c>
      <c r="M18" s="42">
        <v>1589</v>
      </c>
      <c r="N18" s="205">
        <v>622</v>
      </c>
      <c r="O18" s="6">
        <f t="shared" si="0"/>
        <v>7737</v>
      </c>
      <c r="AR18" s="214" t="s">
        <v>352</v>
      </c>
      <c r="AS18" s="106">
        <v>1514</v>
      </c>
      <c r="AT18" s="207">
        <v>51</v>
      </c>
      <c r="AU18" s="105">
        <v>3</v>
      </c>
      <c r="AV18" s="207">
        <v>478</v>
      </c>
      <c r="AW18" s="207">
        <v>40</v>
      </c>
      <c r="AX18" s="207">
        <v>22</v>
      </c>
      <c r="AY18" s="207">
        <v>19</v>
      </c>
      <c r="AZ18" s="207">
        <v>36</v>
      </c>
      <c r="BA18" s="207">
        <v>24</v>
      </c>
      <c r="BB18" s="207">
        <v>35</v>
      </c>
      <c r="BC18" s="207">
        <v>1</v>
      </c>
      <c r="BD18" s="106">
        <v>23</v>
      </c>
      <c r="BE18" s="207">
        <v>46</v>
      </c>
      <c r="BF18" s="99">
        <v>163</v>
      </c>
      <c r="BG18" s="99">
        <v>181</v>
      </c>
      <c r="BH18" s="99">
        <v>49</v>
      </c>
      <c r="BI18" s="99">
        <v>13</v>
      </c>
      <c r="BJ18" s="99">
        <v>32</v>
      </c>
      <c r="BK18" s="99">
        <v>2046</v>
      </c>
      <c r="BL18" s="99">
        <v>117</v>
      </c>
      <c r="BM18" s="99">
        <v>129</v>
      </c>
      <c r="BN18" s="99">
        <v>393</v>
      </c>
      <c r="BO18" s="99">
        <v>45</v>
      </c>
      <c r="BP18" s="6">
        <f t="shared" si="1"/>
        <v>2730</v>
      </c>
    </row>
    <row r="19" spans="1:68" ht="15">
      <c r="A19" s="3" t="s">
        <v>264</v>
      </c>
      <c r="B19" s="42">
        <v>65</v>
      </c>
      <c r="C19" s="99">
        <v>520</v>
      </c>
      <c r="D19" s="105">
        <v>828</v>
      </c>
      <c r="E19" s="99">
        <v>551</v>
      </c>
      <c r="F19" s="99">
        <v>854</v>
      </c>
      <c r="G19" s="99">
        <v>226</v>
      </c>
      <c r="H19" s="99">
        <v>680</v>
      </c>
      <c r="I19" s="99">
        <v>302</v>
      </c>
      <c r="J19" s="99">
        <v>1488</v>
      </c>
      <c r="K19" s="99">
        <v>120</v>
      </c>
      <c r="L19" s="99">
        <v>1294</v>
      </c>
      <c r="M19" s="42">
        <v>585</v>
      </c>
      <c r="N19" s="205">
        <v>1608</v>
      </c>
      <c r="O19" s="6">
        <f t="shared" si="0"/>
        <v>6928</v>
      </c>
      <c r="AR19" s="214" t="s">
        <v>353</v>
      </c>
      <c r="AS19" s="106">
        <v>190</v>
      </c>
      <c r="AT19" s="207">
        <v>13</v>
      </c>
      <c r="AU19" s="105">
        <v>1</v>
      </c>
      <c r="AV19" s="207">
        <v>17</v>
      </c>
      <c r="AW19" s="207">
        <v>1</v>
      </c>
      <c r="AX19" s="207">
        <v>2</v>
      </c>
      <c r="AY19" s="207">
        <v>2</v>
      </c>
      <c r="AZ19" s="207">
        <v>5</v>
      </c>
      <c r="BA19" s="207">
        <v>2</v>
      </c>
      <c r="BB19" s="207">
        <v>2</v>
      </c>
      <c r="BC19" s="207">
        <v>1</v>
      </c>
      <c r="BD19" s="106">
        <v>1</v>
      </c>
      <c r="BE19" s="207">
        <v>7</v>
      </c>
      <c r="BF19" s="99">
        <v>9</v>
      </c>
      <c r="BG19" s="99">
        <v>34</v>
      </c>
      <c r="BH19" s="99">
        <v>4</v>
      </c>
      <c r="BI19" s="99">
        <v>1</v>
      </c>
      <c r="BJ19" s="99">
        <v>5</v>
      </c>
      <c r="BK19" s="99">
        <v>221</v>
      </c>
      <c r="BL19" s="99">
        <v>10</v>
      </c>
      <c r="BM19" s="99">
        <v>13</v>
      </c>
      <c r="BN19" s="99">
        <v>47</v>
      </c>
      <c r="BO19" s="99">
        <v>6</v>
      </c>
      <c r="BP19" s="6">
        <f t="shared" si="1"/>
        <v>297</v>
      </c>
    </row>
    <row r="20" spans="1:68" ht="15">
      <c r="A20" s="3" t="s">
        <v>265</v>
      </c>
      <c r="B20" s="42">
        <v>16</v>
      </c>
      <c r="C20" s="99">
        <v>107</v>
      </c>
      <c r="D20" s="105">
        <v>174</v>
      </c>
      <c r="E20" s="99">
        <v>100</v>
      </c>
      <c r="F20" s="99">
        <v>86</v>
      </c>
      <c r="G20" s="99">
        <v>50</v>
      </c>
      <c r="H20" s="99">
        <v>122</v>
      </c>
      <c r="I20" s="99">
        <v>59</v>
      </c>
      <c r="J20" s="99">
        <v>161</v>
      </c>
      <c r="K20" s="99">
        <v>23</v>
      </c>
      <c r="L20" s="99">
        <v>235</v>
      </c>
      <c r="M20" s="42">
        <v>123</v>
      </c>
      <c r="N20" s="205">
        <v>184</v>
      </c>
      <c r="O20" s="6">
        <f t="shared" si="0"/>
        <v>1133</v>
      </c>
      <c r="AR20" s="215" t="s">
        <v>354</v>
      </c>
      <c r="AS20" s="211">
        <v>5193</v>
      </c>
      <c r="AT20" s="212">
        <v>338</v>
      </c>
      <c r="AU20" s="69">
        <v>10</v>
      </c>
      <c r="AV20" s="212">
        <v>999</v>
      </c>
      <c r="AW20" s="212">
        <v>381</v>
      </c>
      <c r="AX20" s="212">
        <v>118</v>
      </c>
      <c r="AY20" s="212">
        <v>75</v>
      </c>
      <c r="AZ20" s="212">
        <v>151</v>
      </c>
      <c r="BA20" s="212">
        <v>247</v>
      </c>
      <c r="BB20" s="212">
        <v>275</v>
      </c>
      <c r="BC20" s="212">
        <v>51</v>
      </c>
      <c r="BD20" s="211">
        <v>94</v>
      </c>
      <c r="BE20" s="212">
        <v>302</v>
      </c>
      <c r="BF20" s="212">
        <v>1704</v>
      </c>
      <c r="BG20" s="212">
        <v>1687</v>
      </c>
      <c r="BH20" s="212">
        <v>444</v>
      </c>
      <c r="BI20" s="212">
        <v>83</v>
      </c>
      <c r="BJ20" s="212">
        <v>186</v>
      </c>
      <c r="BK20" s="212">
        <v>6540</v>
      </c>
      <c r="BL20" s="212">
        <v>725</v>
      </c>
      <c r="BM20" s="212">
        <v>969</v>
      </c>
      <c r="BN20" s="212">
        <v>3835</v>
      </c>
      <c r="BO20" s="212">
        <v>269</v>
      </c>
      <c r="BP20" s="70">
        <f t="shared" si="1"/>
        <v>12338</v>
      </c>
    </row>
    <row r="21" spans="1:68" ht="15">
      <c r="A21" s="3" t="s">
        <v>266</v>
      </c>
      <c r="B21" s="42">
        <v>92</v>
      </c>
      <c r="C21" s="99">
        <v>746</v>
      </c>
      <c r="D21" s="105">
        <v>820</v>
      </c>
      <c r="E21" s="99">
        <v>294</v>
      </c>
      <c r="F21" s="99">
        <v>270</v>
      </c>
      <c r="G21" s="99">
        <v>140</v>
      </c>
      <c r="H21" s="99">
        <v>182</v>
      </c>
      <c r="I21" s="99">
        <v>116</v>
      </c>
      <c r="J21" s="99">
        <v>145</v>
      </c>
      <c r="K21" s="99">
        <v>51</v>
      </c>
      <c r="L21" s="99">
        <v>539</v>
      </c>
      <c r="M21" s="42">
        <v>838</v>
      </c>
      <c r="N21" s="205">
        <v>196</v>
      </c>
      <c r="O21" s="6">
        <f t="shared" si="0"/>
        <v>3395</v>
      </c>
      <c r="AR21" s="214" t="s">
        <v>355</v>
      </c>
      <c r="AS21" s="106">
        <v>3034</v>
      </c>
      <c r="AT21" s="207">
        <v>114</v>
      </c>
      <c r="AU21" s="105">
        <v>9</v>
      </c>
      <c r="AV21" s="207">
        <v>726</v>
      </c>
      <c r="AW21" s="207">
        <v>318</v>
      </c>
      <c r="AX21" s="207">
        <v>95</v>
      </c>
      <c r="AY21" s="207">
        <v>51</v>
      </c>
      <c r="AZ21" s="207">
        <v>112</v>
      </c>
      <c r="BA21" s="207">
        <v>76</v>
      </c>
      <c r="BB21" s="207">
        <v>177</v>
      </c>
      <c r="BC21" s="207">
        <v>31</v>
      </c>
      <c r="BD21" s="106">
        <v>56</v>
      </c>
      <c r="BE21" s="207">
        <v>182</v>
      </c>
      <c r="BF21" s="99">
        <v>1361</v>
      </c>
      <c r="BG21" s="99">
        <v>1038</v>
      </c>
      <c r="BH21" s="99">
        <v>344</v>
      </c>
      <c r="BI21" s="99">
        <v>60</v>
      </c>
      <c r="BJ21" s="99">
        <v>125</v>
      </c>
      <c r="BK21" s="99">
        <v>3883</v>
      </c>
      <c r="BL21" s="99">
        <v>576</v>
      </c>
      <c r="BM21" s="99">
        <v>522</v>
      </c>
      <c r="BN21" s="99">
        <v>2743</v>
      </c>
      <c r="BO21" s="99">
        <v>185</v>
      </c>
      <c r="BP21" s="6">
        <f t="shared" si="1"/>
        <v>7909</v>
      </c>
    </row>
    <row r="22" spans="1:68" ht="15">
      <c r="A22" s="3" t="s">
        <v>267</v>
      </c>
      <c r="B22" s="42">
        <v>149</v>
      </c>
      <c r="C22" s="99">
        <v>773</v>
      </c>
      <c r="D22" s="105">
        <v>1726</v>
      </c>
      <c r="E22" s="99">
        <v>778</v>
      </c>
      <c r="F22" s="99">
        <v>549</v>
      </c>
      <c r="G22" s="99">
        <v>396</v>
      </c>
      <c r="H22" s="99">
        <v>980</v>
      </c>
      <c r="I22" s="99">
        <v>585</v>
      </c>
      <c r="J22" s="99">
        <v>637</v>
      </c>
      <c r="K22" s="99">
        <v>107</v>
      </c>
      <c r="L22" s="99">
        <v>1266</v>
      </c>
      <c r="M22" s="42">
        <v>922</v>
      </c>
      <c r="N22" s="205">
        <v>744</v>
      </c>
      <c r="O22" s="6">
        <f t="shared" si="0"/>
        <v>7946</v>
      </c>
      <c r="AR22" s="214" t="s">
        <v>356</v>
      </c>
      <c r="AS22" s="106">
        <v>2159</v>
      </c>
      <c r="AT22" s="207">
        <v>224</v>
      </c>
      <c r="AU22" s="105">
        <v>1</v>
      </c>
      <c r="AV22" s="207">
        <v>273</v>
      </c>
      <c r="AW22" s="207">
        <v>63</v>
      </c>
      <c r="AX22" s="207">
        <v>23</v>
      </c>
      <c r="AY22" s="207">
        <v>24</v>
      </c>
      <c r="AZ22" s="207">
        <v>39</v>
      </c>
      <c r="BA22" s="207">
        <v>171</v>
      </c>
      <c r="BB22" s="207">
        <v>98</v>
      </c>
      <c r="BC22" s="207">
        <v>20</v>
      </c>
      <c r="BD22" s="106">
        <v>38</v>
      </c>
      <c r="BE22" s="207">
        <v>120</v>
      </c>
      <c r="BF22" s="99">
        <v>343</v>
      </c>
      <c r="BG22" s="99">
        <v>649</v>
      </c>
      <c r="BH22" s="99">
        <v>100</v>
      </c>
      <c r="BI22" s="99">
        <v>23</v>
      </c>
      <c r="BJ22" s="99">
        <v>61</v>
      </c>
      <c r="BK22" s="99">
        <v>2657</v>
      </c>
      <c r="BL22" s="99">
        <v>149</v>
      </c>
      <c r="BM22" s="99">
        <v>447</v>
      </c>
      <c r="BN22" s="99">
        <v>1092</v>
      </c>
      <c r="BO22" s="99">
        <v>84</v>
      </c>
      <c r="BP22" s="6">
        <f t="shared" si="1"/>
        <v>4429</v>
      </c>
    </row>
    <row r="23" spans="1:68" ht="15">
      <c r="A23" s="67" t="s">
        <v>134</v>
      </c>
      <c r="B23" s="128">
        <v>299</v>
      </c>
      <c r="C23" s="190">
        <v>1264</v>
      </c>
      <c r="D23" s="71">
        <v>4621</v>
      </c>
      <c r="E23" s="190">
        <v>2862</v>
      </c>
      <c r="F23" s="190">
        <v>1315</v>
      </c>
      <c r="G23" s="190">
        <v>1251</v>
      </c>
      <c r="H23" s="190">
        <v>3563</v>
      </c>
      <c r="I23" s="190">
        <v>2239</v>
      </c>
      <c r="J23" s="190">
        <v>2191</v>
      </c>
      <c r="K23" s="190">
        <v>962</v>
      </c>
      <c r="L23" s="190">
        <v>3807</v>
      </c>
      <c r="M23" s="128">
        <v>1563</v>
      </c>
      <c r="N23" s="206">
        <v>3153</v>
      </c>
      <c r="O23" s="72">
        <f t="shared" si="0"/>
        <v>24374</v>
      </c>
      <c r="AR23" s="213" t="s">
        <v>357</v>
      </c>
      <c r="AS23" s="128">
        <v>13272</v>
      </c>
      <c r="AT23" s="190">
        <v>711</v>
      </c>
      <c r="AU23" s="71">
        <v>12</v>
      </c>
      <c r="AV23" s="190">
        <v>5348</v>
      </c>
      <c r="AW23" s="190">
        <v>178</v>
      </c>
      <c r="AX23" s="190">
        <v>133</v>
      </c>
      <c r="AY23" s="190">
        <v>288</v>
      </c>
      <c r="AZ23" s="190">
        <v>329</v>
      </c>
      <c r="BA23" s="190">
        <v>737</v>
      </c>
      <c r="BB23" s="190">
        <v>574</v>
      </c>
      <c r="BC23" s="190">
        <v>95</v>
      </c>
      <c r="BD23" s="128">
        <v>362</v>
      </c>
      <c r="BE23" s="190">
        <v>775</v>
      </c>
      <c r="BF23" s="190">
        <v>911</v>
      </c>
      <c r="BG23" s="190">
        <v>684</v>
      </c>
      <c r="BH23" s="190">
        <v>368</v>
      </c>
      <c r="BI23" s="190">
        <v>212</v>
      </c>
      <c r="BJ23" s="190">
        <v>382</v>
      </c>
      <c r="BK23" s="190">
        <v>19343</v>
      </c>
      <c r="BL23" s="190">
        <v>928</v>
      </c>
      <c r="BM23" s="190">
        <v>2543</v>
      </c>
      <c r="BN23" s="190">
        <v>1963</v>
      </c>
      <c r="BO23" s="190">
        <v>594</v>
      </c>
      <c r="BP23" s="72">
        <f t="shared" si="1"/>
        <v>25371</v>
      </c>
    </row>
    <row r="24" spans="1:68" ht="15">
      <c r="A24" s="3" t="s">
        <v>268</v>
      </c>
      <c r="B24" s="42">
        <v>122</v>
      </c>
      <c r="C24" s="99">
        <v>708</v>
      </c>
      <c r="D24" s="105">
        <v>1930</v>
      </c>
      <c r="E24" s="207">
        <v>989</v>
      </c>
      <c r="F24" s="207">
        <v>522</v>
      </c>
      <c r="G24" s="99">
        <v>450</v>
      </c>
      <c r="H24" s="99">
        <v>1429</v>
      </c>
      <c r="I24" s="99">
        <v>822</v>
      </c>
      <c r="J24" s="99">
        <v>1163</v>
      </c>
      <c r="K24" s="99">
        <v>346</v>
      </c>
      <c r="L24" s="99">
        <v>2080</v>
      </c>
      <c r="M24" s="42">
        <v>830</v>
      </c>
      <c r="N24" s="205">
        <v>1509</v>
      </c>
      <c r="O24" s="6">
        <f t="shared" si="0"/>
        <v>10561</v>
      </c>
      <c r="AR24" s="214" t="s">
        <v>358</v>
      </c>
      <c r="AS24" s="106">
        <v>1277</v>
      </c>
      <c r="AT24" s="207">
        <v>66</v>
      </c>
      <c r="AU24" s="105">
        <v>0</v>
      </c>
      <c r="AV24" s="207">
        <v>583</v>
      </c>
      <c r="AW24" s="207">
        <v>37</v>
      </c>
      <c r="AX24" s="207">
        <v>22</v>
      </c>
      <c r="AY24" s="207">
        <v>32</v>
      </c>
      <c r="AZ24" s="207">
        <v>50</v>
      </c>
      <c r="BA24" s="207">
        <v>219</v>
      </c>
      <c r="BB24" s="207">
        <v>276</v>
      </c>
      <c r="BC24" s="207">
        <v>46</v>
      </c>
      <c r="BD24" s="106">
        <v>51</v>
      </c>
      <c r="BE24" s="207">
        <v>220</v>
      </c>
      <c r="BF24" s="99">
        <v>414</v>
      </c>
      <c r="BG24" s="99">
        <v>296</v>
      </c>
      <c r="BH24" s="99">
        <v>155</v>
      </c>
      <c r="BI24" s="99">
        <v>34</v>
      </c>
      <c r="BJ24" s="99">
        <v>69</v>
      </c>
      <c r="BK24" s="99">
        <v>1926</v>
      </c>
      <c r="BL24" s="99">
        <v>141</v>
      </c>
      <c r="BM24" s="99">
        <v>812</v>
      </c>
      <c r="BN24" s="99">
        <v>865</v>
      </c>
      <c r="BO24" s="99">
        <v>103</v>
      </c>
      <c r="BP24" s="6">
        <f t="shared" si="1"/>
        <v>3847</v>
      </c>
    </row>
    <row r="25" spans="1:68" ht="15">
      <c r="A25" s="3" t="s">
        <v>269</v>
      </c>
      <c r="B25" s="42">
        <v>134</v>
      </c>
      <c r="C25" s="99">
        <v>397</v>
      </c>
      <c r="D25" s="105">
        <v>2027</v>
      </c>
      <c r="E25" s="99">
        <v>1460</v>
      </c>
      <c r="F25" s="99">
        <v>598</v>
      </c>
      <c r="G25" s="99">
        <v>650</v>
      </c>
      <c r="H25" s="99">
        <v>1695</v>
      </c>
      <c r="I25" s="99">
        <v>1114</v>
      </c>
      <c r="J25" s="99">
        <v>657</v>
      </c>
      <c r="K25" s="99">
        <v>454</v>
      </c>
      <c r="L25" s="99">
        <v>1051</v>
      </c>
      <c r="M25" s="42">
        <v>531</v>
      </c>
      <c r="N25" s="205">
        <v>1111</v>
      </c>
      <c r="O25" s="6">
        <f t="shared" si="0"/>
        <v>10237</v>
      </c>
      <c r="AR25" s="214" t="s">
        <v>359</v>
      </c>
      <c r="AS25" s="106">
        <v>410</v>
      </c>
      <c r="AT25" s="207">
        <v>12</v>
      </c>
      <c r="AU25" s="105">
        <v>1</v>
      </c>
      <c r="AV25" s="207">
        <v>112</v>
      </c>
      <c r="AW25" s="207">
        <v>11</v>
      </c>
      <c r="AX25" s="207">
        <v>8</v>
      </c>
      <c r="AY25" s="207">
        <v>20</v>
      </c>
      <c r="AZ25" s="207">
        <v>18</v>
      </c>
      <c r="BA25" s="207">
        <v>55</v>
      </c>
      <c r="BB25" s="207">
        <v>26</v>
      </c>
      <c r="BC25" s="207">
        <v>22</v>
      </c>
      <c r="BD25" s="106">
        <v>46</v>
      </c>
      <c r="BE25" s="207">
        <v>59</v>
      </c>
      <c r="BF25" s="99">
        <v>61</v>
      </c>
      <c r="BG25" s="99">
        <v>17</v>
      </c>
      <c r="BH25" s="99">
        <v>19</v>
      </c>
      <c r="BI25" s="99">
        <v>43</v>
      </c>
      <c r="BJ25" s="99">
        <v>25</v>
      </c>
      <c r="BK25" s="99">
        <v>535</v>
      </c>
      <c r="BL25" s="99">
        <v>57</v>
      </c>
      <c r="BM25" s="99">
        <v>208</v>
      </c>
      <c r="BN25" s="99">
        <v>97</v>
      </c>
      <c r="BO25" s="99">
        <v>68</v>
      </c>
      <c r="BP25" s="6">
        <f t="shared" si="1"/>
        <v>965</v>
      </c>
    </row>
    <row r="26" spans="1:68" ht="15">
      <c r="A26" s="3" t="s">
        <v>270</v>
      </c>
      <c r="B26" s="42">
        <v>43</v>
      </c>
      <c r="C26" s="99">
        <v>159</v>
      </c>
      <c r="D26" s="105">
        <v>664</v>
      </c>
      <c r="E26" s="99">
        <v>413</v>
      </c>
      <c r="F26" s="99">
        <v>195</v>
      </c>
      <c r="G26" s="99">
        <v>151</v>
      </c>
      <c r="H26" s="99">
        <v>439</v>
      </c>
      <c r="I26" s="99">
        <v>303</v>
      </c>
      <c r="J26" s="99">
        <v>371</v>
      </c>
      <c r="K26" s="99">
        <v>162</v>
      </c>
      <c r="L26" s="99">
        <v>676</v>
      </c>
      <c r="M26" s="42">
        <v>202</v>
      </c>
      <c r="N26" s="205">
        <v>533</v>
      </c>
      <c r="O26" s="6">
        <f t="shared" si="0"/>
        <v>3576</v>
      </c>
      <c r="AR26" s="214" t="s">
        <v>360</v>
      </c>
      <c r="AS26" s="106">
        <v>212</v>
      </c>
      <c r="AT26" s="207">
        <v>18</v>
      </c>
      <c r="AU26" s="105">
        <v>0</v>
      </c>
      <c r="AV26" s="207">
        <v>13</v>
      </c>
      <c r="AW26" s="207">
        <v>2</v>
      </c>
      <c r="AX26" s="207">
        <v>1</v>
      </c>
      <c r="AY26" s="207">
        <v>3</v>
      </c>
      <c r="AZ26" s="207">
        <v>5</v>
      </c>
      <c r="BA26" s="207">
        <v>7</v>
      </c>
      <c r="BB26" s="207">
        <v>1</v>
      </c>
      <c r="BC26" s="207">
        <v>0</v>
      </c>
      <c r="BD26" s="106">
        <v>0</v>
      </c>
      <c r="BE26" s="207">
        <v>8</v>
      </c>
      <c r="BF26" s="99">
        <v>2</v>
      </c>
      <c r="BG26" s="99">
        <v>21</v>
      </c>
      <c r="BH26" s="99">
        <v>3</v>
      </c>
      <c r="BI26" s="99">
        <v>1</v>
      </c>
      <c r="BJ26" s="99">
        <v>2</v>
      </c>
      <c r="BK26" s="99">
        <v>243</v>
      </c>
      <c r="BL26" s="99">
        <v>11</v>
      </c>
      <c r="BM26" s="99">
        <v>16</v>
      </c>
      <c r="BN26" s="99">
        <v>26</v>
      </c>
      <c r="BO26" s="99">
        <v>3</v>
      </c>
      <c r="BP26" s="6">
        <f t="shared" si="1"/>
        <v>299</v>
      </c>
    </row>
    <row r="27" spans="1:68" ht="15">
      <c r="A27" s="67" t="s">
        <v>135</v>
      </c>
      <c r="B27" s="128">
        <v>100</v>
      </c>
      <c r="C27" s="190">
        <v>540</v>
      </c>
      <c r="D27" s="71">
        <v>1086</v>
      </c>
      <c r="E27" s="190">
        <v>443</v>
      </c>
      <c r="F27" s="190">
        <v>423</v>
      </c>
      <c r="G27" s="190">
        <v>264</v>
      </c>
      <c r="H27" s="190">
        <v>430</v>
      </c>
      <c r="I27" s="190">
        <v>366</v>
      </c>
      <c r="J27" s="190">
        <v>472</v>
      </c>
      <c r="K27" s="190">
        <v>94</v>
      </c>
      <c r="L27" s="190">
        <v>1050</v>
      </c>
      <c r="M27" s="128">
        <v>640</v>
      </c>
      <c r="N27" s="206">
        <v>566</v>
      </c>
      <c r="O27" s="72">
        <f t="shared" si="0"/>
        <v>5268</v>
      </c>
      <c r="AR27" s="214" t="s">
        <v>361</v>
      </c>
      <c r="AS27" s="106">
        <v>11373</v>
      </c>
      <c r="AT27" s="207">
        <v>615</v>
      </c>
      <c r="AU27" s="105">
        <v>11</v>
      </c>
      <c r="AV27" s="207">
        <v>4640</v>
      </c>
      <c r="AW27" s="207">
        <v>128</v>
      </c>
      <c r="AX27" s="207">
        <v>102</v>
      </c>
      <c r="AY27" s="207">
        <v>233</v>
      </c>
      <c r="AZ27" s="207">
        <v>256</v>
      </c>
      <c r="BA27" s="207">
        <v>456</v>
      </c>
      <c r="BB27" s="207">
        <v>271</v>
      </c>
      <c r="BC27" s="207">
        <v>27</v>
      </c>
      <c r="BD27" s="106">
        <v>265</v>
      </c>
      <c r="BE27" s="207">
        <v>488</v>
      </c>
      <c r="BF27" s="99">
        <v>434</v>
      </c>
      <c r="BG27" s="99">
        <v>350</v>
      </c>
      <c r="BH27" s="99">
        <v>191</v>
      </c>
      <c r="BI27" s="99">
        <v>134</v>
      </c>
      <c r="BJ27" s="99">
        <v>286</v>
      </c>
      <c r="BK27" s="99">
        <v>16639</v>
      </c>
      <c r="BL27" s="99">
        <v>719</v>
      </c>
      <c r="BM27" s="99">
        <v>1507</v>
      </c>
      <c r="BN27" s="99">
        <v>975</v>
      </c>
      <c r="BO27" s="99">
        <v>420</v>
      </c>
      <c r="BP27" s="6">
        <f t="shared" si="1"/>
        <v>20260</v>
      </c>
    </row>
    <row r="28" spans="1:68" ht="15">
      <c r="A28" s="3" t="s">
        <v>271</v>
      </c>
      <c r="B28" s="42">
        <v>39</v>
      </c>
      <c r="C28" s="99">
        <v>199</v>
      </c>
      <c r="D28" s="105">
        <v>372</v>
      </c>
      <c r="E28" s="99">
        <v>123</v>
      </c>
      <c r="F28" s="99">
        <v>140</v>
      </c>
      <c r="G28" s="99">
        <v>78</v>
      </c>
      <c r="H28" s="99">
        <v>97</v>
      </c>
      <c r="I28" s="99">
        <v>87</v>
      </c>
      <c r="J28" s="99">
        <v>220</v>
      </c>
      <c r="K28" s="99">
        <v>34</v>
      </c>
      <c r="L28" s="99">
        <v>449</v>
      </c>
      <c r="M28" s="42">
        <v>238</v>
      </c>
      <c r="N28" s="205">
        <v>254</v>
      </c>
      <c r="O28" s="6">
        <f t="shared" si="0"/>
        <v>1838</v>
      </c>
      <c r="AR28" s="210" t="s">
        <v>48</v>
      </c>
      <c r="AS28" s="61">
        <f>AS8+AS9+AS11+AS13+AS14+AS15+AS17+AS18+AS19+AS21+AS22+AS24+AS25+AS26+AS27</f>
        <v>75985</v>
      </c>
      <c r="AT28" s="61">
        <f aca="true" t="shared" si="2" ref="AT28:BO28">AT8+AT9+AT11+AT13+AT14+AT15+AT17+AT18+AT19+AT21+AT22+AT24+AT25+AT26+AT27</f>
        <v>4253</v>
      </c>
      <c r="AU28" s="61">
        <f t="shared" si="2"/>
        <v>60</v>
      </c>
      <c r="AV28" s="61">
        <f t="shared" si="2"/>
        <v>19308</v>
      </c>
      <c r="AW28" s="61">
        <f t="shared" si="2"/>
        <v>1232</v>
      </c>
      <c r="AX28" s="61">
        <f t="shared" si="2"/>
        <v>588</v>
      </c>
      <c r="AY28" s="61">
        <f t="shared" si="2"/>
        <v>1016</v>
      </c>
      <c r="AZ28" s="61">
        <f t="shared" si="2"/>
        <v>1322</v>
      </c>
      <c r="BA28" s="61">
        <f t="shared" si="2"/>
        <v>3282</v>
      </c>
      <c r="BB28" s="61">
        <f t="shared" si="2"/>
        <v>2695</v>
      </c>
      <c r="BC28" s="61">
        <f t="shared" si="2"/>
        <v>439</v>
      </c>
      <c r="BD28" s="61">
        <f t="shared" si="2"/>
        <v>1538</v>
      </c>
      <c r="BE28" s="61">
        <f t="shared" si="2"/>
        <v>3328</v>
      </c>
      <c r="BF28" s="61">
        <f t="shared" si="2"/>
        <v>5500</v>
      </c>
      <c r="BG28" s="61">
        <f t="shared" si="2"/>
        <v>5948</v>
      </c>
      <c r="BH28" s="61">
        <f t="shared" si="2"/>
        <v>1607</v>
      </c>
      <c r="BI28" s="61">
        <f t="shared" si="2"/>
        <v>897</v>
      </c>
      <c r="BJ28" s="61">
        <f t="shared" si="2"/>
        <v>1495</v>
      </c>
      <c r="BK28" s="61">
        <f t="shared" si="2"/>
        <v>99606</v>
      </c>
      <c r="BL28" s="61">
        <f t="shared" si="2"/>
        <v>4158</v>
      </c>
      <c r="BM28" s="61">
        <f t="shared" si="2"/>
        <v>11282</v>
      </c>
      <c r="BN28" s="61">
        <f t="shared" si="2"/>
        <v>13055</v>
      </c>
      <c r="BO28" s="61">
        <f t="shared" si="2"/>
        <v>2392</v>
      </c>
      <c r="BP28" s="6">
        <f t="shared" si="1"/>
        <v>130493</v>
      </c>
    </row>
    <row r="29" spans="1:68" ht="15">
      <c r="A29" s="3" t="s">
        <v>272</v>
      </c>
      <c r="B29" s="42">
        <v>61</v>
      </c>
      <c r="C29" s="99">
        <v>341</v>
      </c>
      <c r="D29" s="105">
        <v>714</v>
      </c>
      <c r="E29" s="99">
        <v>320</v>
      </c>
      <c r="F29" s="99">
        <v>283</v>
      </c>
      <c r="G29" s="99">
        <v>186</v>
      </c>
      <c r="H29" s="99">
        <v>333</v>
      </c>
      <c r="I29" s="99">
        <v>279</v>
      </c>
      <c r="J29" s="99">
        <v>252</v>
      </c>
      <c r="K29" s="99">
        <v>60</v>
      </c>
      <c r="L29" s="99">
        <v>601</v>
      </c>
      <c r="M29" s="42">
        <v>402</v>
      </c>
      <c r="N29" s="205">
        <v>312</v>
      </c>
      <c r="O29" s="6">
        <f t="shared" si="0"/>
        <v>3430</v>
      </c>
      <c r="AR29" s="57" t="s">
        <v>362</v>
      </c>
      <c r="BP29" s="58" t="s">
        <v>18</v>
      </c>
    </row>
    <row r="30" spans="1:68" ht="15">
      <c r="A30" s="127" t="s">
        <v>48</v>
      </c>
      <c r="B30" s="61">
        <f aca="true" t="shared" si="3" ref="B30:O30">SUM(B7+B12+B17+B23+B27)</f>
        <v>9886</v>
      </c>
      <c r="C30" s="61">
        <f t="shared" si="3"/>
        <v>41629</v>
      </c>
      <c r="D30" s="61">
        <f t="shared" si="3"/>
        <v>76050</v>
      </c>
      <c r="E30" s="61">
        <f t="shared" si="3"/>
        <v>26718</v>
      </c>
      <c r="F30" s="61">
        <f t="shared" si="3"/>
        <v>20650</v>
      </c>
      <c r="G30" s="61">
        <f t="shared" si="3"/>
        <v>10087</v>
      </c>
      <c r="H30" s="61">
        <f t="shared" si="3"/>
        <v>19699</v>
      </c>
      <c r="I30" s="61">
        <f t="shared" si="3"/>
        <v>14881</v>
      </c>
      <c r="J30" s="61">
        <f t="shared" si="3"/>
        <v>11028</v>
      </c>
      <c r="K30" s="61">
        <f t="shared" si="3"/>
        <v>3609</v>
      </c>
      <c r="L30" s="61">
        <f t="shared" si="3"/>
        <v>21752</v>
      </c>
      <c r="M30" s="61">
        <f t="shared" si="3"/>
        <v>51515</v>
      </c>
      <c r="N30" s="61">
        <f t="shared" si="3"/>
        <v>14637</v>
      </c>
      <c r="O30" s="61">
        <f t="shared" si="3"/>
        <v>255989</v>
      </c>
      <c r="BP30" s="58" t="s">
        <v>31</v>
      </c>
    </row>
    <row r="31" spans="1:49" ht="15">
      <c r="A31" s="57" t="s">
        <v>342</v>
      </c>
      <c r="O31" s="58" t="s">
        <v>18</v>
      </c>
      <c r="AR31" s="56" t="s">
        <v>372</v>
      </c>
      <c r="AW31" s="159"/>
    </row>
    <row r="32" spans="15:68" ht="15">
      <c r="O32" s="58" t="s">
        <v>31</v>
      </c>
      <c r="AR32" s="17" t="s">
        <v>155</v>
      </c>
      <c r="AS32" s="288" t="s">
        <v>336</v>
      </c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04"/>
    </row>
    <row r="33" spans="1:68" ht="15">
      <c r="A33" s="56" t="s">
        <v>343</v>
      </c>
      <c r="F33" s="159"/>
      <c r="AR33" s="83"/>
      <c r="AS33" s="284" t="s">
        <v>91</v>
      </c>
      <c r="AT33" s="284" t="s">
        <v>93</v>
      </c>
      <c r="AU33" s="284" t="s">
        <v>150</v>
      </c>
      <c r="AV33" s="284" t="s">
        <v>151</v>
      </c>
      <c r="AW33" s="284" t="s">
        <v>136</v>
      </c>
      <c r="AX33" s="284" t="s">
        <v>137</v>
      </c>
      <c r="AY33" s="284" t="s">
        <v>138</v>
      </c>
      <c r="AZ33" s="284" t="s">
        <v>139</v>
      </c>
      <c r="BA33" s="284" t="s">
        <v>140</v>
      </c>
      <c r="BB33" s="284" t="s">
        <v>141</v>
      </c>
      <c r="BC33" s="284" t="s">
        <v>142</v>
      </c>
      <c r="BD33" s="284" t="s">
        <v>143</v>
      </c>
      <c r="BE33" s="284" t="s">
        <v>144</v>
      </c>
      <c r="BF33" s="284" t="s">
        <v>145</v>
      </c>
      <c r="BG33" s="284" t="s">
        <v>146</v>
      </c>
      <c r="BH33" s="284" t="s">
        <v>147</v>
      </c>
      <c r="BI33" s="284" t="s">
        <v>148</v>
      </c>
      <c r="BJ33" s="284" t="s">
        <v>149</v>
      </c>
      <c r="BK33" s="284" t="s">
        <v>364</v>
      </c>
      <c r="BL33" s="284" t="s">
        <v>365</v>
      </c>
      <c r="BM33" s="284" t="s">
        <v>366</v>
      </c>
      <c r="BN33" s="284" t="s">
        <v>367</v>
      </c>
      <c r="BO33" s="284" t="s">
        <v>368</v>
      </c>
      <c r="BP33" s="285" t="s">
        <v>48</v>
      </c>
    </row>
    <row r="34" spans="1:68" ht="15">
      <c r="A34" s="17" t="s">
        <v>155</v>
      </c>
      <c r="B34" s="266" t="s">
        <v>336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04"/>
      <c r="AR34" s="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6"/>
    </row>
    <row r="35" spans="1:68" ht="15">
      <c r="A35" s="83"/>
      <c r="B35" s="239" t="s">
        <v>200</v>
      </c>
      <c r="C35" s="239" t="s">
        <v>201</v>
      </c>
      <c r="D35" s="239" t="s">
        <v>202</v>
      </c>
      <c r="E35" s="239" t="s">
        <v>203</v>
      </c>
      <c r="F35" s="239" t="s">
        <v>204</v>
      </c>
      <c r="G35" s="239" t="s">
        <v>205</v>
      </c>
      <c r="H35" s="239" t="s">
        <v>206</v>
      </c>
      <c r="I35" s="239" t="s">
        <v>207</v>
      </c>
      <c r="J35" s="239" t="s">
        <v>209</v>
      </c>
      <c r="K35" s="239" t="s">
        <v>210</v>
      </c>
      <c r="L35" s="239" t="s">
        <v>341</v>
      </c>
      <c r="M35" s="239" t="s">
        <v>199</v>
      </c>
      <c r="N35" s="239" t="s">
        <v>208</v>
      </c>
      <c r="O35" s="275" t="s">
        <v>48</v>
      </c>
      <c r="AR35" s="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6"/>
    </row>
    <row r="36" spans="1:68" ht="15">
      <c r="A36" s="84"/>
      <c r="B36" s="293"/>
      <c r="C36" s="293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4"/>
      <c r="AR36" s="85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7"/>
    </row>
    <row r="37" spans="1:68" ht="15">
      <c r="A37" s="84"/>
      <c r="B37" s="293"/>
      <c r="C37" s="293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4"/>
      <c r="AR37" s="213" t="s">
        <v>344</v>
      </c>
      <c r="AS37" s="76">
        <f>(AS7/AS28)*100</f>
        <v>35.571494373889585</v>
      </c>
      <c r="AT37" s="76">
        <f aca="true" t="shared" si="4" ref="AT37:BP37">(AT7/AT28)*100</f>
        <v>41.899835410298614</v>
      </c>
      <c r="AU37" s="76">
        <f t="shared" si="4"/>
        <v>35</v>
      </c>
      <c r="AV37" s="76">
        <f t="shared" si="4"/>
        <v>22.959395069401285</v>
      </c>
      <c r="AW37" s="76">
        <f t="shared" si="4"/>
        <v>34.41558441558442</v>
      </c>
      <c r="AX37" s="76">
        <f t="shared" si="4"/>
        <v>29.761904761904763</v>
      </c>
      <c r="AY37" s="76">
        <f t="shared" si="4"/>
        <v>28.74015748031496</v>
      </c>
      <c r="AZ37" s="76">
        <f t="shared" si="4"/>
        <v>29.954614220877456</v>
      </c>
      <c r="BA37" s="76">
        <f t="shared" si="4"/>
        <v>27.026203534430227</v>
      </c>
      <c r="BB37" s="76">
        <f t="shared" si="4"/>
        <v>14.582560296846012</v>
      </c>
      <c r="BC37" s="76">
        <f t="shared" si="4"/>
        <v>17.539863325740317</v>
      </c>
      <c r="BD37" s="76">
        <f t="shared" si="4"/>
        <v>28.15344603381014</v>
      </c>
      <c r="BE37" s="76">
        <f t="shared" si="4"/>
        <v>24.39903846153846</v>
      </c>
      <c r="BF37" s="76">
        <f t="shared" si="4"/>
        <v>28.199999999999996</v>
      </c>
      <c r="BG37" s="76">
        <f t="shared" si="4"/>
        <v>39.13920645595158</v>
      </c>
      <c r="BH37" s="76">
        <f t="shared" si="4"/>
        <v>30.55382700684505</v>
      </c>
      <c r="BI37" s="76">
        <f t="shared" si="4"/>
        <v>26.867335562987737</v>
      </c>
      <c r="BJ37" s="76">
        <f t="shared" si="4"/>
        <v>22.809364548494983</v>
      </c>
      <c r="BK37" s="76">
        <f t="shared" si="4"/>
        <v>33.39658253518864</v>
      </c>
      <c r="BL37" s="76">
        <f t="shared" si="4"/>
        <v>30.952380952380953</v>
      </c>
      <c r="BM37" s="76">
        <f t="shared" si="4"/>
        <v>23.06328665130296</v>
      </c>
      <c r="BN37" s="76">
        <f t="shared" si="4"/>
        <v>33.47376484105707</v>
      </c>
      <c r="BO37" s="76">
        <f t="shared" si="4"/>
        <v>24.331103678929765</v>
      </c>
      <c r="BP37" s="76">
        <f t="shared" si="4"/>
        <v>32.26686488930441</v>
      </c>
    </row>
    <row r="38" spans="1:68" ht="15">
      <c r="A38" s="85"/>
      <c r="B38" s="293"/>
      <c r="C38" s="293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5"/>
      <c r="AR38" s="214" t="s">
        <v>345</v>
      </c>
      <c r="AS38" s="62">
        <f>(AS8/AS28)*100</f>
        <v>9.525564256103177</v>
      </c>
      <c r="AT38" s="62">
        <f aca="true" t="shared" si="5" ref="AT38:BP38">(AT8/AT28)*100</f>
        <v>15.189278156595346</v>
      </c>
      <c r="AU38" s="62">
        <f t="shared" si="5"/>
        <v>1.6666666666666667</v>
      </c>
      <c r="AV38" s="62">
        <f t="shared" si="5"/>
        <v>3.325046612802983</v>
      </c>
      <c r="AW38" s="62">
        <f t="shared" si="5"/>
        <v>5.113636363636364</v>
      </c>
      <c r="AX38" s="62">
        <f t="shared" si="5"/>
        <v>2.891156462585034</v>
      </c>
      <c r="AY38" s="62">
        <f t="shared" si="5"/>
        <v>3.543307086614173</v>
      </c>
      <c r="AZ38" s="62">
        <f t="shared" si="5"/>
        <v>4.9167927382753405</v>
      </c>
      <c r="BA38" s="62">
        <f t="shared" si="5"/>
        <v>7.007921998781232</v>
      </c>
      <c r="BB38" s="62">
        <f t="shared" si="5"/>
        <v>2.857142857142857</v>
      </c>
      <c r="BC38" s="62">
        <f t="shared" si="5"/>
        <v>2.9612756264236904</v>
      </c>
      <c r="BD38" s="62">
        <f t="shared" si="5"/>
        <v>3.836150845253576</v>
      </c>
      <c r="BE38" s="62">
        <f t="shared" si="5"/>
        <v>4.567307692307692</v>
      </c>
      <c r="BF38" s="62">
        <f t="shared" si="5"/>
        <v>5.0181818181818185</v>
      </c>
      <c r="BG38" s="62">
        <f t="shared" si="5"/>
        <v>12.1049092131809</v>
      </c>
      <c r="BH38" s="62">
        <f t="shared" si="5"/>
        <v>4.044803982576229</v>
      </c>
      <c r="BI38" s="62">
        <f t="shared" si="5"/>
        <v>2.787068004459309</v>
      </c>
      <c r="BJ38" s="62">
        <f t="shared" si="5"/>
        <v>4.013377926421405</v>
      </c>
      <c r="BK38" s="62">
        <f t="shared" si="5"/>
        <v>8.560729273336948</v>
      </c>
      <c r="BL38" s="62">
        <f t="shared" si="5"/>
        <v>4.353054353054353</v>
      </c>
      <c r="BM38" s="62">
        <f t="shared" si="5"/>
        <v>4.706612302783195</v>
      </c>
      <c r="BN38" s="62">
        <f t="shared" si="5"/>
        <v>8.127154346993489</v>
      </c>
      <c r="BO38" s="62">
        <f t="shared" si="5"/>
        <v>3.5535117056856182</v>
      </c>
      <c r="BP38" s="62">
        <f t="shared" si="5"/>
        <v>7.95828128711885</v>
      </c>
    </row>
    <row r="39" spans="1:68" ht="15">
      <c r="A39" s="82" t="s">
        <v>132</v>
      </c>
      <c r="B39" s="116">
        <f>(B7/O7)*100</f>
        <v>4.604965188906795</v>
      </c>
      <c r="C39" s="155">
        <f>(C7/O7)*100</f>
        <v>18.516236399448076</v>
      </c>
      <c r="D39" s="116">
        <f>(D7/O7)*100</f>
        <v>33.1047703310477</v>
      </c>
      <c r="E39" s="155">
        <f>(E7/O7)*100</f>
        <v>10.412782675556398</v>
      </c>
      <c r="F39" s="155">
        <f>(F7/O7)*100</f>
        <v>8.381521155243783</v>
      </c>
      <c r="G39" s="155">
        <f>(G7/O7)*100</f>
        <v>3.746537323179659</v>
      </c>
      <c r="H39" s="155">
        <f>(H7/O7)*100</f>
        <v>6.375011849464404</v>
      </c>
      <c r="I39" s="155">
        <f>(I7/O7)*100</f>
        <v>5.458126626009838</v>
      </c>
      <c r="J39" s="155">
        <f>(J7/O7)*100</f>
        <v>2.5789700972182725</v>
      </c>
      <c r="K39" s="155">
        <f>(K7/O7)*100</f>
        <v>1.0006214385776429</v>
      </c>
      <c r="L39" s="155">
        <f>(L7/O7)*100</f>
        <v>5.820456915347426</v>
      </c>
      <c r="M39" s="116">
        <f>(M7/O7)*100</f>
        <v>23.12120158835487</v>
      </c>
      <c r="N39" s="156">
        <f>(N7/O7)*100</f>
        <v>3.5795915357959154</v>
      </c>
      <c r="O39" s="164">
        <f>SUM(B39:L39)</f>
        <v>100</v>
      </c>
      <c r="AR39" s="214" t="s">
        <v>346</v>
      </c>
      <c r="AS39" s="62">
        <f>(AS9/AS28)*100</f>
        <v>26.045930117786405</v>
      </c>
      <c r="AT39" s="62">
        <f aca="true" t="shared" si="6" ref="AT39:BP39">(AT9/AT28)*100</f>
        <v>26.71055725370327</v>
      </c>
      <c r="AU39" s="62">
        <f t="shared" si="6"/>
        <v>33.33333333333333</v>
      </c>
      <c r="AV39" s="62">
        <f t="shared" si="6"/>
        <v>19.634348456598303</v>
      </c>
      <c r="AW39" s="62">
        <f t="shared" si="6"/>
        <v>29.301948051948052</v>
      </c>
      <c r="AX39" s="62">
        <f t="shared" si="6"/>
        <v>26.87074829931973</v>
      </c>
      <c r="AY39" s="62">
        <f t="shared" si="6"/>
        <v>25.196850393700785</v>
      </c>
      <c r="AZ39" s="62">
        <f t="shared" si="6"/>
        <v>25.03782148260212</v>
      </c>
      <c r="BA39" s="62">
        <f t="shared" si="6"/>
        <v>20.018281535648992</v>
      </c>
      <c r="BB39" s="62">
        <f t="shared" si="6"/>
        <v>11.725417439703154</v>
      </c>
      <c r="BC39" s="62">
        <f t="shared" si="6"/>
        <v>14.578587699316628</v>
      </c>
      <c r="BD39" s="62">
        <f t="shared" si="6"/>
        <v>24.317295188556567</v>
      </c>
      <c r="BE39" s="62">
        <f t="shared" si="6"/>
        <v>19.831730769230766</v>
      </c>
      <c r="BF39" s="62">
        <f t="shared" si="6"/>
        <v>23.18181818181818</v>
      </c>
      <c r="BG39" s="62">
        <f t="shared" si="6"/>
        <v>27.034297242770677</v>
      </c>
      <c r="BH39" s="62">
        <f t="shared" si="6"/>
        <v>26.509023024268824</v>
      </c>
      <c r="BI39" s="62">
        <f t="shared" si="6"/>
        <v>24.08026755852843</v>
      </c>
      <c r="BJ39" s="62">
        <f t="shared" si="6"/>
        <v>18.795986622073578</v>
      </c>
      <c r="BK39" s="62">
        <f t="shared" si="6"/>
        <v>24.835853261851696</v>
      </c>
      <c r="BL39" s="62">
        <f t="shared" si="6"/>
        <v>26.599326599326602</v>
      </c>
      <c r="BM39" s="62">
        <f t="shared" si="6"/>
        <v>18.356674348519768</v>
      </c>
      <c r="BN39" s="62">
        <f t="shared" si="6"/>
        <v>25.346610494063576</v>
      </c>
      <c r="BO39" s="62">
        <f t="shared" si="6"/>
        <v>20.777591973244146</v>
      </c>
      <c r="BP39" s="62">
        <f t="shared" si="6"/>
        <v>24.308583602185557</v>
      </c>
    </row>
    <row r="40" spans="1:68" ht="15">
      <c r="A40" s="3" t="s">
        <v>254</v>
      </c>
      <c r="B40" s="192">
        <f aca="true" t="shared" si="7" ref="B40:B62">(B8/O8)*100</f>
        <v>4.9292805122964</v>
      </c>
      <c r="C40" s="193">
        <f aca="true" t="shared" si="8" ref="C40:C62">(C8/O8)*100</f>
        <v>19.05602527176438</v>
      </c>
      <c r="D40" s="192">
        <f aca="true" t="shared" si="9" ref="D40:D62">(D8/O8)*100</f>
        <v>34.29984491026951</v>
      </c>
      <c r="E40" s="193">
        <f aca="true" t="shared" si="10" ref="E40:E62">(E8/O8)*100</f>
        <v>10.681179825470451</v>
      </c>
      <c r="F40" s="193">
        <f aca="true" t="shared" si="11" ref="F40:F62">(F8/O8)*100</f>
        <v>7.3992810125858535</v>
      </c>
      <c r="G40" s="193">
        <f aca="true" t="shared" si="12" ref="G40:G62">(G8/O8)*100</f>
        <v>3.2390168597545723</v>
      </c>
      <c r="H40" s="193">
        <f aca="true" t="shared" si="13" ref="H40:H62">(H8/O8)*100</f>
        <v>6.200730422601648</v>
      </c>
      <c r="I40" s="193">
        <f aca="true" t="shared" si="14" ref="I40:I62">(I8/O8)*100</f>
        <v>4.71987364117811</v>
      </c>
      <c r="J40" s="193">
        <f aca="true" t="shared" si="15" ref="J40:J62">(J8/O8)*100</f>
        <v>2.6165138401503727</v>
      </c>
      <c r="K40" s="193">
        <f aca="true" t="shared" si="16" ref="K40:K62">(K8/O8)*100</f>
        <v>1.0148728907439304</v>
      </c>
      <c r="L40" s="193">
        <f aca="true" t="shared" si="17" ref="L40:L62">(L8/O8)*100</f>
        <v>5.843380813184771</v>
      </c>
      <c r="M40" s="192">
        <f aca="true" t="shared" si="18" ref="M40:M62">(M8/O8)*100</f>
        <v>23.985305784060778</v>
      </c>
      <c r="N40" s="208">
        <f aca="true" t="shared" si="19" ref="N40:N62">(N8/O8)*100</f>
        <v>3.631386730894303</v>
      </c>
      <c r="O40" s="196">
        <f aca="true" t="shared" si="20" ref="O40:O62">SUM(B40:L40)</f>
        <v>100.00000000000001</v>
      </c>
      <c r="AR40" s="213" t="s">
        <v>347</v>
      </c>
      <c r="AS40" s="76">
        <f>(AS10/AS28)*100</f>
        <v>46.96190037507403</v>
      </c>
      <c r="AT40" s="76">
        <f aca="true" t="shared" si="21" ref="AT40:BP40">(AT10/AT28)*100</f>
        <v>41.38255349165295</v>
      </c>
      <c r="AU40" s="76">
        <f t="shared" si="21"/>
        <v>45</v>
      </c>
      <c r="AV40" s="76">
        <f t="shared" si="21"/>
        <v>49.34224155790346</v>
      </c>
      <c r="AW40" s="76">
        <f t="shared" si="21"/>
        <v>51.13636363636363</v>
      </c>
      <c r="AX40" s="76">
        <f t="shared" si="21"/>
        <v>47.61904761904761</v>
      </c>
      <c r="AY40" s="76">
        <f t="shared" si="21"/>
        <v>42.91338582677165</v>
      </c>
      <c r="AZ40" s="76">
        <f t="shared" si="21"/>
        <v>45.1588502269289</v>
      </c>
      <c r="BA40" s="76">
        <f t="shared" si="21"/>
        <v>50.517976843388176</v>
      </c>
      <c r="BB40" s="76">
        <f t="shared" si="21"/>
        <v>64.11873840445269</v>
      </c>
      <c r="BC40" s="76">
        <f t="shared" si="21"/>
        <v>60.820045558086555</v>
      </c>
      <c r="BD40" s="76">
        <f t="shared" si="21"/>
        <v>48.30949284785436</v>
      </c>
      <c r="BE40" s="76">
        <f t="shared" si="21"/>
        <v>52.31370192307693</v>
      </c>
      <c r="BF40" s="76">
        <f t="shared" si="21"/>
        <v>55.23636363636364</v>
      </c>
      <c r="BG40" s="76">
        <f t="shared" si="21"/>
        <v>49.361129791526565</v>
      </c>
      <c r="BH40" s="76">
        <f t="shared" si="21"/>
        <v>46.54635967641568</v>
      </c>
      <c r="BI40" s="76">
        <f t="shared" si="21"/>
        <v>49.49832775919732</v>
      </c>
      <c r="BJ40" s="76">
        <f t="shared" si="21"/>
        <v>51.63879598662208</v>
      </c>
      <c r="BK40" s="76">
        <f t="shared" si="21"/>
        <v>47.1839045840612</v>
      </c>
      <c r="BL40" s="76">
        <f t="shared" si="21"/>
        <v>46.72919672919673</v>
      </c>
      <c r="BM40" s="76">
        <f t="shared" si="21"/>
        <v>54.39638361992555</v>
      </c>
      <c r="BN40" s="76">
        <f t="shared" si="21"/>
        <v>51.48985063194178</v>
      </c>
      <c r="BO40" s="76">
        <f t="shared" si="21"/>
        <v>50.836120401337794</v>
      </c>
      <c r="BP40" s="76">
        <f t="shared" si="21"/>
        <v>48.290712911803695</v>
      </c>
    </row>
    <row r="41" spans="1:68" ht="15">
      <c r="A41" s="3" t="s">
        <v>255</v>
      </c>
      <c r="B41" s="192">
        <f t="shared" si="7"/>
        <v>3.898956617243273</v>
      </c>
      <c r="C41" s="193">
        <f t="shared" si="8"/>
        <v>17.915980230642504</v>
      </c>
      <c r="D41" s="192">
        <f t="shared" si="9"/>
        <v>30.60131795716639</v>
      </c>
      <c r="E41" s="193">
        <f t="shared" si="10"/>
        <v>10.365183964854475</v>
      </c>
      <c r="F41" s="193">
        <f t="shared" si="11"/>
        <v>7.894014277869303</v>
      </c>
      <c r="G41" s="193">
        <f t="shared" si="12"/>
        <v>4.2833607907743</v>
      </c>
      <c r="H41" s="193">
        <f t="shared" si="13"/>
        <v>8.70400878638111</v>
      </c>
      <c r="I41" s="193">
        <f t="shared" si="14"/>
        <v>8.498077979132344</v>
      </c>
      <c r="J41" s="193">
        <f t="shared" si="15"/>
        <v>2.9379461834157055</v>
      </c>
      <c r="K41" s="193">
        <f t="shared" si="16"/>
        <v>1.1669412410763316</v>
      </c>
      <c r="L41" s="193">
        <f t="shared" si="17"/>
        <v>3.7342119714442616</v>
      </c>
      <c r="M41" s="192">
        <f t="shared" si="18"/>
        <v>21.814936847885775</v>
      </c>
      <c r="N41" s="208">
        <f t="shared" si="19"/>
        <v>4.104887424492038</v>
      </c>
      <c r="O41" s="196">
        <f t="shared" si="20"/>
        <v>99.99999999999999</v>
      </c>
      <c r="AR41" s="215" t="s">
        <v>348</v>
      </c>
      <c r="AS41" s="216">
        <f>(AS11/AS28)*100</f>
        <v>2.6663157202079355</v>
      </c>
      <c r="AT41" s="216">
        <f aca="true" t="shared" si="22" ref="AT41:BP41">(AT11/AT28)*100</f>
        <v>4.679050082294851</v>
      </c>
      <c r="AU41" s="216">
        <f t="shared" si="22"/>
        <v>0</v>
      </c>
      <c r="AV41" s="216">
        <f t="shared" si="22"/>
        <v>1.1912160762378288</v>
      </c>
      <c r="AW41" s="216">
        <f t="shared" si="22"/>
        <v>1.1363636363636365</v>
      </c>
      <c r="AX41" s="216">
        <f t="shared" si="22"/>
        <v>0</v>
      </c>
      <c r="AY41" s="216">
        <f t="shared" si="22"/>
        <v>1.3779527559055118</v>
      </c>
      <c r="AZ41" s="216">
        <f t="shared" si="22"/>
        <v>0.8320726172465961</v>
      </c>
      <c r="BA41" s="216">
        <f t="shared" si="22"/>
        <v>3.534430225472273</v>
      </c>
      <c r="BB41" s="216">
        <f t="shared" si="22"/>
        <v>2.152133580705009</v>
      </c>
      <c r="BC41" s="216">
        <f t="shared" si="22"/>
        <v>2.277904328018223</v>
      </c>
      <c r="BD41" s="216">
        <f t="shared" si="22"/>
        <v>2.665799739921977</v>
      </c>
      <c r="BE41" s="216">
        <f t="shared" si="22"/>
        <v>1.622596153846154</v>
      </c>
      <c r="BF41" s="216">
        <f t="shared" si="22"/>
        <v>0.7272727272727273</v>
      </c>
      <c r="BG41" s="216">
        <f t="shared" si="22"/>
        <v>3.194351042367182</v>
      </c>
      <c r="BH41" s="216">
        <f t="shared" si="22"/>
        <v>0.6222775357809583</v>
      </c>
      <c r="BI41" s="216">
        <f t="shared" si="22"/>
        <v>1.560758082497213</v>
      </c>
      <c r="BJ41" s="216">
        <f t="shared" si="22"/>
        <v>1.2040133779264213</v>
      </c>
      <c r="BK41" s="216">
        <f t="shared" si="22"/>
        <v>2.4647109611870768</v>
      </c>
      <c r="BL41" s="216">
        <f t="shared" si="22"/>
        <v>0.937950937950938</v>
      </c>
      <c r="BM41" s="216">
        <f t="shared" si="22"/>
        <v>2.472965786208119</v>
      </c>
      <c r="BN41" s="216">
        <f t="shared" si="22"/>
        <v>1.8383761011106856</v>
      </c>
      <c r="BO41" s="216">
        <f t="shared" si="22"/>
        <v>1.3377926421404682</v>
      </c>
      <c r="BP41" s="216">
        <f t="shared" si="22"/>
        <v>2.333458499689639</v>
      </c>
    </row>
    <row r="42" spans="1:68" ht="15">
      <c r="A42" s="3" t="s">
        <v>256</v>
      </c>
      <c r="B42" s="192">
        <f t="shared" si="7"/>
        <v>2.307692307692308</v>
      </c>
      <c r="C42" s="193">
        <f t="shared" si="8"/>
        <v>10</v>
      </c>
      <c r="D42" s="192">
        <f t="shared" si="9"/>
        <v>20.76923076923077</v>
      </c>
      <c r="E42" s="193">
        <f t="shared" si="10"/>
        <v>6.153846153846154</v>
      </c>
      <c r="F42" s="193">
        <f t="shared" si="11"/>
        <v>10.76923076923077</v>
      </c>
      <c r="G42" s="193">
        <f t="shared" si="12"/>
        <v>8.461538461538462</v>
      </c>
      <c r="H42" s="193">
        <f t="shared" si="13"/>
        <v>8.461538461538462</v>
      </c>
      <c r="I42" s="193">
        <f t="shared" si="14"/>
        <v>7.6923076923076925</v>
      </c>
      <c r="J42" s="193">
        <f t="shared" si="15"/>
        <v>16.153846153846153</v>
      </c>
      <c r="K42" s="193">
        <f t="shared" si="16"/>
        <v>0.7692307692307693</v>
      </c>
      <c r="L42" s="193">
        <f t="shared" si="17"/>
        <v>8.461538461538462</v>
      </c>
      <c r="M42" s="192">
        <f t="shared" si="18"/>
        <v>12.307692307692308</v>
      </c>
      <c r="N42" s="208">
        <f t="shared" si="19"/>
        <v>16.923076923076923</v>
      </c>
      <c r="O42" s="196">
        <f t="shared" si="20"/>
        <v>100.00000000000001</v>
      </c>
      <c r="AR42" s="215" t="s">
        <v>349</v>
      </c>
      <c r="AS42" s="77">
        <f>(AS12/AS28)*100</f>
        <v>24.095545173389485</v>
      </c>
      <c r="AT42" s="77">
        <f aca="true" t="shared" si="23" ref="AT42:BP42">(AT12/AT28)*100</f>
        <v>18.222431225017637</v>
      </c>
      <c r="AU42" s="77">
        <f t="shared" si="23"/>
        <v>21.666666666666668</v>
      </c>
      <c r="AV42" s="77">
        <f t="shared" si="23"/>
        <v>28.319867412471517</v>
      </c>
      <c r="AW42" s="77">
        <f t="shared" si="23"/>
        <v>9.659090909090908</v>
      </c>
      <c r="AX42" s="77">
        <f t="shared" si="23"/>
        <v>15.476190476190476</v>
      </c>
      <c r="AY42" s="77">
        <f t="shared" si="23"/>
        <v>19.19291338582677</v>
      </c>
      <c r="AZ42" s="77">
        <f t="shared" si="23"/>
        <v>19.213313161875945</v>
      </c>
      <c r="BA42" s="77">
        <f t="shared" si="23"/>
        <v>35.40524070688604</v>
      </c>
      <c r="BB42" s="77">
        <f t="shared" si="23"/>
        <v>49.53617810760667</v>
      </c>
      <c r="BC42" s="77">
        <f t="shared" si="23"/>
        <v>43.96355353075171</v>
      </c>
      <c r="BD42" s="77">
        <f t="shared" si="23"/>
        <v>29.323797139141742</v>
      </c>
      <c r="BE42" s="77">
        <f t="shared" si="23"/>
        <v>36.47836538461539</v>
      </c>
      <c r="BF42" s="77">
        <f t="shared" si="23"/>
        <v>18.272727272727273</v>
      </c>
      <c r="BG42" s="77">
        <f t="shared" si="23"/>
        <v>11.768661735036986</v>
      </c>
      <c r="BH42" s="77">
        <f t="shared" si="23"/>
        <v>12.507778469197262</v>
      </c>
      <c r="BI42" s="77">
        <f t="shared" si="23"/>
        <v>33.22185061315496</v>
      </c>
      <c r="BJ42" s="77">
        <f t="shared" si="23"/>
        <v>28.896321070234116</v>
      </c>
      <c r="BK42" s="77">
        <f t="shared" si="23"/>
        <v>24.662168945645845</v>
      </c>
      <c r="BL42" s="77">
        <f t="shared" si="23"/>
        <v>15.848965848965848</v>
      </c>
      <c r="BM42" s="77">
        <f t="shared" si="23"/>
        <v>38.60131182414466</v>
      </c>
      <c r="BN42" s="77">
        <f t="shared" si="23"/>
        <v>14.599770202987362</v>
      </c>
      <c r="BO42" s="77">
        <f t="shared" si="23"/>
        <v>30.51839464882943</v>
      </c>
      <c r="BP42" s="77">
        <f t="shared" si="23"/>
        <v>24.68714796962289</v>
      </c>
    </row>
    <row r="43" spans="1:68" ht="15">
      <c r="A43" s="3" t="s">
        <v>257</v>
      </c>
      <c r="B43" s="192">
        <f t="shared" si="7"/>
        <v>3.666361136571952</v>
      </c>
      <c r="C43" s="193">
        <f t="shared" si="8"/>
        <v>16.869961691226585</v>
      </c>
      <c r="D43" s="192">
        <f t="shared" si="9"/>
        <v>29.641119650285553</v>
      </c>
      <c r="E43" s="193">
        <f t="shared" si="10"/>
        <v>9.551340807069495</v>
      </c>
      <c r="F43" s="193">
        <f t="shared" si="11"/>
        <v>11.687701238572</v>
      </c>
      <c r="G43" s="193">
        <f t="shared" si="12"/>
        <v>5.309172953535923</v>
      </c>
      <c r="H43" s="193">
        <f t="shared" si="13"/>
        <v>6.543044489882253</v>
      </c>
      <c r="I43" s="193">
        <f t="shared" si="14"/>
        <v>7.358574819619733</v>
      </c>
      <c r="J43" s="193">
        <f t="shared" si="15"/>
        <v>2.3525817293003364</v>
      </c>
      <c r="K43" s="193">
        <f t="shared" si="16"/>
        <v>0.9259912101341982</v>
      </c>
      <c r="L43" s="193">
        <f t="shared" si="17"/>
        <v>6.0941502738019695</v>
      </c>
      <c r="M43" s="192">
        <f t="shared" si="18"/>
        <v>20.53632282779854</v>
      </c>
      <c r="N43" s="208">
        <f t="shared" si="19"/>
        <v>3.278572939434534</v>
      </c>
      <c r="O43" s="196">
        <f t="shared" si="20"/>
        <v>100</v>
      </c>
      <c r="AR43" s="214" t="s">
        <v>371</v>
      </c>
      <c r="AS43" s="62">
        <f>(AS13/AS28)*100</f>
        <v>9.36895439889452</v>
      </c>
      <c r="AT43" s="62">
        <f aca="true" t="shared" si="24" ref="AT43:BP43">(AT13/AT28)*100</f>
        <v>7.571126263813778</v>
      </c>
      <c r="AU43" s="62">
        <f t="shared" si="24"/>
        <v>8.333333333333332</v>
      </c>
      <c r="AV43" s="62">
        <f t="shared" si="24"/>
        <v>10.964367101719494</v>
      </c>
      <c r="AW43" s="62">
        <f t="shared" si="24"/>
        <v>3.1655844155844153</v>
      </c>
      <c r="AX43" s="62">
        <f t="shared" si="24"/>
        <v>3.4013605442176873</v>
      </c>
      <c r="AY43" s="62">
        <f t="shared" si="24"/>
        <v>9.05511811023622</v>
      </c>
      <c r="AZ43" s="62">
        <f t="shared" si="24"/>
        <v>8.018154311649017</v>
      </c>
      <c r="BA43" s="62">
        <f t="shared" si="24"/>
        <v>11.304082876294942</v>
      </c>
      <c r="BB43" s="62">
        <f t="shared" si="24"/>
        <v>6.79035250463822</v>
      </c>
      <c r="BC43" s="62">
        <f t="shared" si="24"/>
        <v>7.972665148063782</v>
      </c>
      <c r="BD43" s="62">
        <f t="shared" si="24"/>
        <v>11.63849154746424</v>
      </c>
      <c r="BE43" s="62">
        <f t="shared" si="24"/>
        <v>10.036057692307693</v>
      </c>
      <c r="BF43" s="62">
        <f t="shared" si="24"/>
        <v>2.9454545454545453</v>
      </c>
      <c r="BG43" s="62">
        <f t="shared" si="24"/>
        <v>2.65635507733692</v>
      </c>
      <c r="BH43" s="62">
        <f t="shared" si="24"/>
        <v>3.7958929682638454</v>
      </c>
      <c r="BI43" s="62">
        <f t="shared" si="24"/>
        <v>7.6923076923076925</v>
      </c>
      <c r="BJ43" s="62">
        <f t="shared" si="24"/>
        <v>9.765886287625419</v>
      </c>
      <c r="BK43" s="62">
        <f t="shared" si="24"/>
        <v>9.600827259402044</v>
      </c>
      <c r="BL43" s="62">
        <f t="shared" si="24"/>
        <v>6.18085618085618</v>
      </c>
      <c r="BM43" s="62">
        <f t="shared" si="24"/>
        <v>9.767771671689417</v>
      </c>
      <c r="BN43" s="62">
        <f t="shared" si="24"/>
        <v>2.918422060513213</v>
      </c>
      <c r="BO43" s="62">
        <f t="shared" si="24"/>
        <v>8.988294314381271</v>
      </c>
      <c r="BP43" s="62">
        <f t="shared" si="24"/>
        <v>8.826527093407309</v>
      </c>
    </row>
    <row r="44" spans="1:68" ht="15">
      <c r="A44" s="67" t="s">
        <v>258</v>
      </c>
      <c r="B44" s="116">
        <f t="shared" si="7"/>
        <v>2.49839159339481</v>
      </c>
      <c r="C44" s="155">
        <f t="shared" si="8"/>
        <v>11.998713274715849</v>
      </c>
      <c r="D44" s="116">
        <f t="shared" si="9"/>
        <v>23.83658588891272</v>
      </c>
      <c r="E44" s="155">
        <f t="shared" si="10"/>
        <v>10.54042461934377</v>
      </c>
      <c r="F44" s="155">
        <f t="shared" si="11"/>
        <v>6.240617628136393</v>
      </c>
      <c r="G44" s="155">
        <f t="shared" si="12"/>
        <v>4.128243619987133</v>
      </c>
      <c r="H44" s="155">
        <f t="shared" si="13"/>
        <v>9.457430838515977</v>
      </c>
      <c r="I44" s="155">
        <f t="shared" si="14"/>
        <v>5.5650868539566805</v>
      </c>
      <c r="J44" s="155">
        <f t="shared" si="15"/>
        <v>5.607977696761742</v>
      </c>
      <c r="K44" s="155">
        <f t="shared" si="16"/>
        <v>2.616341411108728</v>
      </c>
      <c r="L44" s="155">
        <f t="shared" si="17"/>
        <v>17.510186575166202</v>
      </c>
      <c r="M44" s="116">
        <f t="shared" si="18"/>
        <v>14.497104868110657</v>
      </c>
      <c r="N44" s="156">
        <f t="shared" si="19"/>
        <v>8.224319107870471</v>
      </c>
      <c r="O44" s="164">
        <f t="shared" si="20"/>
        <v>100</v>
      </c>
      <c r="AR44" s="214" t="s">
        <v>370</v>
      </c>
      <c r="AS44" s="62">
        <f>(AS14/AS28)*100</f>
        <v>12.214252813055209</v>
      </c>
      <c r="AT44" s="62">
        <f aca="true" t="shared" si="25" ref="AT44:BP44">(AT14/AT28)*100</f>
        <v>7.900305666588291</v>
      </c>
      <c r="AU44" s="62">
        <f t="shared" si="25"/>
        <v>8.333333333333332</v>
      </c>
      <c r="AV44" s="62">
        <f t="shared" si="25"/>
        <v>15.972653822249844</v>
      </c>
      <c r="AW44" s="62">
        <f t="shared" si="25"/>
        <v>5.438311688311688</v>
      </c>
      <c r="AX44" s="62">
        <f t="shared" si="25"/>
        <v>10.54421768707483</v>
      </c>
      <c r="AY44" s="62">
        <f t="shared" si="25"/>
        <v>8.562992125984252</v>
      </c>
      <c r="AZ44" s="62">
        <f t="shared" si="25"/>
        <v>9.909228441754916</v>
      </c>
      <c r="BA44" s="62">
        <f t="shared" si="25"/>
        <v>15.38695917123705</v>
      </c>
      <c r="BB44" s="62">
        <f t="shared" si="25"/>
        <v>36.40074211502783</v>
      </c>
      <c r="BC44" s="62">
        <f t="shared" si="25"/>
        <v>28.701594533029613</v>
      </c>
      <c r="BD44" s="62">
        <f t="shared" si="25"/>
        <v>12.743823146944083</v>
      </c>
      <c r="BE44" s="62">
        <f t="shared" si="25"/>
        <v>21.544471153846153</v>
      </c>
      <c r="BF44" s="62">
        <f t="shared" si="25"/>
        <v>12.709090909090909</v>
      </c>
      <c r="BG44" s="62">
        <f t="shared" si="25"/>
        <v>5.514458641560188</v>
      </c>
      <c r="BH44" s="62">
        <f t="shared" si="25"/>
        <v>7.093963907902924</v>
      </c>
      <c r="BI44" s="62">
        <f t="shared" si="25"/>
        <v>22.965440356744704</v>
      </c>
      <c r="BJ44" s="62">
        <f t="shared" si="25"/>
        <v>16.120401337792643</v>
      </c>
      <c r="BK44" s="62">
        <f t="shared" si="25"/>
        <v>12.756259663072505</v>
      </c>
      <c r="BL44" s="62">
        <f t="shared" si="25"/>
        <v>8.345358345358346</v>
      </c>
      <c r="BM44" s="62">
        <f t="shared" si="25"/>
        <v>22.38078354901613</v>
      </c>
      <c r="BN44" s="62">
        <f t="shared" si="25"/>
        <v>8.739946380697052</v>
      </c>
      <c r="BO44" s="62">
        <f t="shared" si="25"/>
        <v>18.687290969899664</v>
      </c>
      <c r="BP44" s="62">
        <f t="shared" si="25"/>
        <v>13.15472860613213</v>
      </c>
    </row>
    <row r="45" spans="1:68" ht="15">
      <c r="A45" s="3" t="s">
        <v>259</v>
      </c>
      <c r="B45" s="192">
        <f t="shared" si="7"/>
        <v>1.599702380952381</v>
      </c>
      <c r="C45" s="193">
        <f t="shared" si="8"/>
        <v>5.989583333333334</v>
      </c>
      <c r="D45" s="192">
        <f t="shared" si="9"/>
        <v>19.084821428571427</v>
      </c>
      <c r="E45" s="193">
        <f t="shared" si="10"/>
        <v>10.751488095238097</v>
      </c>
      <c r="F45" s="193">
        <f t="shared" si="11"/>
        <v>5.133928571428571</v>
      </c>
      <c r="G45" s="193">
        <f t="shared" si="12"/>
        <v>4.464285714285714</v>
      </c>
      <c r="H45" s="193">
        <f t="shared" si="13"/>
        <v>12.462797619047619</v>
      </c>
      <c r="I45" s="193">
        <f t="shared" si="14"/>
        <v>6.845238095238096</v>
      </c>
      <c r="J45" s="193">
        <f t="shared" si="15"/>
        <v>9.040178571428571</v>
      </c>
      <c r="K45" s="193">
        <f t="shared" si="16"/>
        <v>4.538690476190476</v>
      </c>
      <c r="L45" s="193">
        <f t="shared" si="17"/>
        <v>20.089285714285715</v>
      </c>
      <c r="M45" s="192">
        <f t="shared" si="18"/>
        <v>7.5892857142857135</v>
      </c>
      <c r="N45" s="208">
        <f t="shared" si="19"/>
        <v>13.578869047619047</v>
      </c>
      <c r="O45" s="196">
        <f t="shared" si="20"/>
        <v>100</v>
      </c>
      <c r="AR45" s="214" t="s">
        <v>369</v>
      </c>
      <c r="AS45" s="62">
        <f>(AS15/AS28)*100</f>
        <v>2.512337961439758</v>
      </c>
      <c r="AT45" s="62">
        <f aca="true" t="shared" si="26" ref="AT45:BP45">(AT15/AT28)*100</f>
        <v>2.7509992946155655</v>
      </c>
      <c r="AU45" s="62">
        <f t="shared" si="26"/>
        <v>5</v>
      </c>
      <c r="AV45" s="62">
        <f t="shared" si="26"/>
        <v>1.3828464885021752</v>
      </c>
      <c r="AW45" s="62">
        <f t="shared" si="26"/>
        <v>1.0551948051948052</v>
      </c>
      <c r="AX45" s="62">
        <f t="shared" si="26"/>
        <v>1.530612244897959</v>
      </c>
      <c r="AY45" s="62">
        <f t="shared" si="26"/>
        <v>1.574803149606299</v>
      </c>
      <c r="AZ45" s="62">
        <f t="shared" si="26"/>
        <v>1.2859304084720122</v>
      </c>
      <c r="BA45" s="62">
        <f t="shared" si="26"/>
        <v>8.714198659354052</v>
      </c>
      <c r="BB45" s="62">
        <f t="shared" si="26"/>
        <v>6.345083487940631</v>
      </c>
      <c r="BC45" s="62">
        <f t="shared" si="26"/>
        <v>7.289293849658314</v>
      </c>
      <c r="BD45" s="62">
        <f t="shared" si="26"/>
        <v>4.9414824447334205</v>
      </c>
      <c r="BE45" s="62">
        <f t="shared" si="26"/>
        <v>4.897836538461538</v>
      </c>
      <c r="BF45" s="62">
        <f t="shared" si="26"/>
        <v>2.618181818181818</v>
      </c>
      <c r="BG45" s="62">
        <f t="shared" si="26"/>
        <v>3.597848016139879</v>
      </c>
      <c r="BH45" s="62">
        <f t="shared" si="26"/>
        <v>1.6179215930304918</v>
      </c>
      <c r="BI45" s="62">
        <f t="shared" si="26"/>
        <v>2.564102564102564</v>
      </c>
      <c r="BJ45" s="62">
        <f t="shared" si="26"/>
        <v>3.0100334448160537</v>
      </c>
      <c r="BK45" s="62">
        <f t="shared" si="26"/>
        <v>2.305082023171295</v>
      </c>
      <c r="BL45" s="62">
        <f t="shared" si="26"/>
        <v>1.3227513227513228</v>
      </c>
      <c r="BM45" s="62">
        <f t="shared" si="26"/>
        <v>6.452756603439107</v>
      </c>
      <c r="BN45" s="62">
        <f t="shared" si="26"/>
        <v>2.941401761777097</v>
      </c>
      <c r="BO45" s="62">
        <f t="shared" si="26"/>
        <v>2.842809364548495</v>
      </c>
      <c r="BP45" s="62">
        <f t="shared" si="26"/>
        <v>2.705892270083453</v>
      </c>
    </row>
    <row r="46" spans="1:68" ht="15">
      <c r="A46" s="3" t="s">
        <v>260</v>
      </c>
      <c r="B46" s="192">
        <f t="shared" si="7"/>
        <v>2.6204564666103125</v>
      </c>
      <c r="C46" s="193">
        <f t="shared" si="8"/>
        <v>9.721048182586644</v>
      </c>
      <c r="D46" s="192">
        <f t="shared" si="9"/>
        <v>22.40067624683009</v>
      </c>
      <c r="E46" s="193">
        <f t="shared" si="10"/>
        <v>10.059171597633137</v>
      </c>
      <c r="F46" s="193">
        <f t="shared" si="11"/>
        <v>7.016060862214708</v>
      </c>
      <c r="G46" s="193">
        <f t="shared" si="12"/>
        <v>4.902789518174133</v>
      </c>
      <c r="H46" s="193">
        <f t="shared" si="13"/>
        <v>9.04480135249366</v>
      </c>
      <c r="I46" s="193">
        <f t="shared" si="14"/>
        <v>5.748098055790363</v>
      </c>
      <c r="J46" s="193">
        <f t="shared" si="15"/>
        <v>5.579036348267118</v>
      </c>
      <c r="K46" s="193">
        <f t="shared" si="16"/>
        <v>3.296703296703297</v>
      </c>
      <c r="L46" s="193">
        <f t="shared" si="17"/>
        <v>19.611158072696533</v>
      </c>
      <c r="M46" s="192">
        <f t="shared" si="18"/>
        <v>12.341504649196956</v>
      </c>
      <c r="N46" s="208">
        <f t="shared" si="19"/>
        <v>8.875739644970414</v>
      </c>
      <c r="O46" s="196">
        <f t="shared" si="20"/>
        <v>100</v>
      </c>
      <c r="AR46" s="215" t="s">
        <v>350</v>
      </c>
      <c r="AS46" s="77">
        <f>(AS16/AS28)*100</f>
        <v>13.36579588076594</v>
      </c>
      <c r="AT46" s="77">
        <f aca="true" t="shared" si="27" ref="AT46:BP46">(AT16/AT28)*100</f>
        <v>10.533740888784388</v>
      </c>
      <c r="AU46" s="77">
        <f t="shared" si="27"/>
        <v>6.666666666666667</v>
      </c>
      <c r="AV46" s="77">
        <f t="shared" si="27"/>
        <v>14.657136938056764</v>
      </c>
      <c r="AW46" s="77">
        <f t="shared" si="27"/>
        <v>9.415584415584416</v>
      </c>
      <c r="AX46" s="77">
        <f t="shared" si="27"/>
        <v>12.074829931972788</v>
      </c>
      <c r="AY46" s="77">
        <f t="shared" si="27"/>
        <v>14.960629921259844</v>
      </c>
      <c r="AZ46" s="77">
        <f t="shared" si="27"/>
        <v>13.691376701966718</v>
      </c>
      <c r="BA46" s="77">
        <f t="shared" si="27"/>
        <v>4.052407068860451</v>
      </c>
      <c r="BB46" s="77">
        <f t="shared" si="27"/>
        <v>2.2263450834879404</v>
      </c>
      <c r="BC46" s="77">
        <f t="shared" si="27"/>
        <v>2.9612756264236904</v>
      </c>
      <c r="BD46" s="77">
        <f t="shared" si="27"/>
        <v>10.208062418725618</v>
      </c>
      <c r="BE46" s="77">
        <f t="shared" si="27"/>
        <v>5.138221153846153</v>
      </c>
      <c r="BF46" s="77">
        <f t="shared" si="27"/>
        <v>5.254545454545455</v>
      </c>
      <c r="BG46" s="77">
        <f t="shared" si="27"/>
        <v>6.035642232683255</v>
      </c>
      <c r="BH46" s="77">
        <f t="shared" si="27"/>
        <v>5.787181082762912</v>
      </c>
      <c r="BI46" s="77">
        <f t="shared" si="27"/>
        <v>5.4626532887402455</v>
      </c>
      <c r="BJ46" s="77">
        <f t="shared" si="27"/>
        <v>9.096989966555185</v>
      </c>
      <c r="BK46" s="77">
        <f t="shared" si="27"/>
        <v>13.491155151296105</v>
      </c>
      <c r="BL46" s="77">
        <f t="shared" si="27"/>
        <v>12.506012506012507</v>
      </c>
      <c r="BM46" s="77">
        <f t="shared" si="27"/>
        <v>4.733203332742422</v>
      </c>
      <c r="BN46" s="77">
        <f t="shared" si="27"/>
        <v>5.675986212179242</v>
      </c>
      <c r="BO46" s="77">
        <f t="shared" si="27"/>
        <v>7.734113712374582</v>
      </c>
      <c r="BP46" s="77">
        <f t="shared" si="27"/>
        <v>11.815193152123102</v>
      </c>
    </row>
    <row r="47" spans="1:68" ht="15">
      <c r="A47" s="3" t="s">
        <v>261</v>
      </c>
      <c r="B47" s="192">
        <f t="shared" si="7"/>
        <v>3.931409452112087</v>
      </c>
      <c r="C47" s="193">
        <f t="shared" si="8"/>
        <v>17.482225010455878</v>
      </c>
      <c r="D47" s="192">
        <f t="shared" si="9"/>
        <v>29.36010037641154</v>
      </c>
      <c r="E47" s="193">
        <f t="shared" si="10"/>
        <v>9.87034713508992</v>
      </c>
      <c r="F47" s="193">
        <f t="shared" si="11"/>
        <v>6.733584274362192</v>
      </c>
      <c r="G47" s="193">
        <f t="shared" si="12"/>
        <v>2.425763278962777</v>
      </c>
      <c r="H47" s="193">
        <f t="shared" si="13"/>
        <v>6.859054788791301</v>
      </c>
      <c r="I47" s="193">
        <f t="shared" si="14"/>
        <v>3.596821413634463</v>
      </c>
      <c r="J47" s="193">
        <f t="shared" si="15"/>
        <v>3.596821413634463</v>
      </c>
      <c r="K47" s="193">
        <f t="shared" si="16"/>
        <v>1.0874111250522793</v>
      </c>
      <c r="L47" s="193">
        <f t="shared" si="17"/>
        <v>15.056461731493098</v>
      </c>
      <c r="M47" s="192">
        <f t="shared" si="18"/>
        <v>21.413634462567963</v>
      </c>
      <c r="N47" s="208">
        <f t="shared" si="19"/>
        <v>4.684232538686742</v>
      </c>
      <c r="O47" s="196">
        <f t="shared" si="20"/>
        <v>100</v>
      </c>
      <c r="AR47" s="214" t="s">
        <v>351</v>
      </c>
      <c r="AS47" s="62">
        <f>(AS17/AS28)*100</f>
        <v>11.123248009475555</v>
      </c>
      <c r="AT47" s="62">
        <f aca="true" t="shared" si="28" ref="AT47:BP47">(AT17/AT28)*100</f>
        <v>9.028920761815188</v>
      </c>
      <c r="AU47" s="62">
        <f t="shared" si="28"/>
        <v>0</v>
      </c>
      <c r="AV47" s="62">
        <f t="shared" si="28"/>
        <v>12.093432773979698</v>
      </c>
      <c r="AW47" s="62">
        <f t="shared" si="28"/>
        <v>6.087662337662338</v>
      </c>
      <c r="AX47" s="62">
        <f t="shared" si="28"/>
        <v>7.993197278911565</v>
      </c>
      <c r="AY47" s="62">
        <f t="shared" si="28"/>
        <v>12.893700787401574</v>
      </c>
      <c r="AZ47" s="62">
        <f t="shared" si="28"/>
        <v>10.59001512859304</v>
      </c>
      <c r="BA47" s="62">
        <f t="shared" si="28"/>
        <v>3.2602071907373555</v>
      </c>
      <c r="BB47" s="62">
        <f t="shared" si="28"/>
        <v>0.8534322820037107</v>
      </c>
      <c r="BC47" s="62">
        <f t="shared" si="28"/>
        <v>2.5056947608200453</v>
      </c>
      <c r="BD47" s="62">
        <f t="shared" si="28"/>
        <v>8.647594278283485</v>
      </c>
      <c r="BE47" s="62">
        <f t="shared" si="28"/>
        <v>3.5456730769230766</v>
      </c>
      <c r="BF47" s="62">
        <f t="shared" si="28"/>
        <v>2.1272727272727274</v>
      </c>
      <c r="BG47" s="62">
        <f t="shared" si="28"/>
        <v>2.42098184263618</v>
      </c>
      <c r="BH47" s="62">
        <f t="shared" si="28"/>
        <v>2.4891101431238334</v>
      </c>
      <c r="BI47" s="62">
        <f t="shared" si="28"/>
        <v>3.901895206243032</v>
      </c>
      <c r="BJ47" s="62">
        <f t="shared" si="28"/>
        <v>6.622073578595318</v>
      </c>
      <c r="BK47" s="62">
        <f t="shared" si="28"/>
        <v>11.215187840089955</v>
      </c>
      <c r="BL47" s="62">
        <f t="shared" si="28"/>
        <v>9.45165945165945</v>
      </c>
      <c r="BM47" s="62">
        <f t="shared" si="28"/>
        <v>3.4745612480056725</v>
      </c>
      <c r="BN47" s="62">
        <f t="shared" si="28"/>
        <v>2.3056300268096517</v>
      </c>
      <c r="BO47" s="62">
        <f t="shared" si="28"/>
        <v>5.60200668896321</v>
      </c>
      <c r="BP47" s="62">
        <f t="shared" si="28"/>
        <v>9.495528495781382</v>
      </c>
    </row>
    <row r="48" spans="1:68" ht="15">
      <c r="A48" s="3" t="s">
        <v>262</v>
      </c>
      <c r="B48" s="192">
        <f t="shared" si="7"/>
        <v>2.121409921671018</v>
      </c>
      <c r="C48" s="193">
        <f t="shared" si="8"/>
        <v>13.870757180156659</v>
      </c>
      <c r="D48" s="192">
        <f t="shared" si="9"/>
        <v>24.24934725848564</v>
      </c>
      <c r="E48" s="193">
        <f t="shared" si="10"/>
        <v>11.06396866840731</v>
      </c>
      <c r="F48" s="193">
        <f t="shared" si="11"/>
        <v>6.527415143603134</v>
      </c>
      <c r="G48" s="193">
        <f t="shared" si="12"/>
        <v>4.862924281984334</v>
      </c>
      <c r="H48" s="193">
        <f t="shared" si="13"/>
        <v>9.007832898172325</v>
      </c>
      <c r="I48" s="193">
        <f t="shared" si="14"/>
        <v>5.907310704960835</v>
      </c>
      <c r="J48" s="193">
        <f t="shared" si="15"/>
        <v>4.177545691906006</v>
      </c>
      <c r="K48" s="193">
        <f t="shared" si="16"/>
        <v>1.860313315926893</v>
      </c>
      <c r="L48" s="193">
        <f t="shared" si="17"/>
        <v>16.351174934725847</v>
      </c>
      <c r="M48" s="192">
        <f t="shared" si="18"/>
        <v>15.992167101827675</v>
      </c>
      <c r="N48" s="208">
        <f t="shared" si="19"/>
        <v>6.037859007832899</v>
      </c>
      <c r="O48" s="196">
        <f t="shared" si="20"/>
        <v>100</v>
      </c>
      <c r="AR48" s="214" t="s">
        <v>352</v>
      </c>
      <c r="AS48" s="129">
        <f>(AS18/AS28)*100</f>
        <v>1.9924985194446272</v>
      </c>
      <c r="AT48" s="129">
        <f aca="true" t="shared" si="29" ref="AT48:BP48">(AT18/AT28)*100</f>
        <v>1.1991535386785799</v>
      </c>
      <c r="AU48" s="129">
        <f t="shared" si="29"/>
        <v>5</v>
      </c>
      <c r="AV48" s="129">
        <f t="shared" si="29"/>
        <v>2.4756577584420967</v>
      </c>
      <c r="AW48" s="129">
        <f t="shared" si="29"/>
        <v>3.2467532467532463</v>
      </c>
      <c r="AX48" s="129">
        <f t="shared" si="29"/>
        <v>3.741496598639456</v>
      </c>
      <c r="AY48" s="129">
        <f t="shared" si="29"/>
        <v>1.8700787401574805</v>
      </c>
      <c r="AZ48" s="129">
        <f t="shared" si="29"/>
        <v>2.723146747352496</v>
      </c>
      <c r="BA48" s="129">
        <f t="shared" si="29"/>
        <v>0.7312614259597806</v>
      </c>
      <c r="BB48" s="129">
        <f t="shared" si="29"/>
        <v>1.2987012987012987</v>
      </c>
      <c r="BC48" s="129">
        <f t="shared" si="29"/>
        <v>0.22779043280182232</v>
      </c>
      <c r="BD48" s="129">
        <f t="shared" si="29"/>
        <v>1.495448634590377</v>
      </c>
      <c r="BE48" s="129">
        <f t="shared" si="29"/>
        <v>1.3822115384615383</v>
      </c>
      <c r="BF48" s="129">
        <f t="shared" si="29"/>
        <v>2.963636363636364</v>
      </c>
      <c r="BG48" s="129">
        <f t="shared" si="29"/>
        <v>3.043039677202421</v>
      </c>
      <c r="BH48" s="129">
        <f t="shared" si="29"/>
        <v>3.0491599253266957</v>
      </c>
      <c r="BI48" s="129">
        <f t="shared" si="29"/>
        <v>1.4492753623188406</v>
      </c>
      <c r="BJ48" s="129">
        <f t="shared" si="29"/>
        <v>2.140468227424749</v>
      </c>
      <c r="BK48" s="129">
        <f t="shared" si="29"/>
        <v>2.054093126920065</v>
      </c>
      <c r="BL48" s="129">
        <f t="shared" si="29"/>
        <v>2.813852813852814</v>
      </c>
      <c r="BM48" s="129">
        <f t="shared" si="29"/>
        <v>1.1434142882467646</v>
      </c>
      <c r="BN48" s="129">
        <f t="shared" si="29"/>
        <v>3.0103408655687476</v>
      </c>
      <c r="BO48" s="129">
        <f t="shared" si="29"/>
        <v>1.8812709030100336</v>
      </c>
      <c r="BP48" s="129">
        <f t="shared" si="29"/>
        <v>2.092066241101055</v>
      </c>
    </row>
    <row r="49" spans="1:68" ht="15">
      <c r="A49" s="67" t="s">
        <v>133</v>
      </c>
      <c r="B49" s="116">
        <f t="shared" si="7"/>
        <v>1.879214414679981</v>
      </c>
      <c r="C49" s="155">
        <f t="shared" si="8"/>
        <v>13.069752017391945</v>
      </c>
      <c r="D49" s="116">
        <f t="shared" si="9"/>
        <v>19.38170161022882</v>
      </c>
      <c r="E49" s="155">
        <f t="shared" si="10"/>
        <v>9.794023361214489</v>
      </c>
      <c r="F49" s="155">
        <f t="shared" si="11"/>
        <v>8.898632963631673</v>
      </c>
      <c r="G49" s="155">
        <f t="shared" si="12"/>
        <v>3.9537197391208223</v>
      </c>
      <c r="H49" s="155">
        <f t="shared" si="13"/>
        <v>10.0187921441468</v>
      </c>
      <c r="I49" s="155">
        <f t="shared" si="14"/>
        <v>5.13283466597885</v>
      </c>
      <c r="J49" s="155">
        <f t="shared" si="15"/>
        <v>10.85154206124028</v>
      </c>
      <c r="K49" s="155">
        <f t="shared" si="16"/>
        <v>1.5070562658904159</v>
      </c>
      <c r="L49" s="155">
        <f t="shared" si="17"/>
        <v>15.51273075647592</v>
      </c>
      <c r="M49" s="116">
        <f t="shared" si="18"/>
        <v>14.948966432071925</v>
      </c>
      <c r="N49" s="156">
        <f t="shared" si="19"/>
        <v>12.358598327130697</v>
      </c>
      <c r="O49" s="164">
        <f t="shared" si="20"/>
        <v>99.99999999999999</v>
      </c>
      <c r="AR49" s="214" t="s">
        <v>353</v>
      </c>
      <c r="AS49" s="129">
        <f>(AS19/AS28)*100</f>
        <v>0.250049351845759</v>
      </c>
      <c r="AT49" s="129">
        <f aca="true" t="shared" si="30" ref="AT49:BP49">(AT19/AT28)*100</f>
        <v>0.3056665882906184</v>
      </c>
      <c r="AU49" s="129">
        <f t="shared" si="30"/>
        <v>1.6666666666666667</v>
      </c>
      <c r="AV49" s="129">
        <f t="shared" si="30"/>
        <v>0.08804640563496996</v>
      </c>
      <c r="AW49" s="129">
        <f t="shared" si="30"/>
        <v>0.08116883116883117</v>
      </c>
      <c r="AX49" s="129">
        <f t="shared" si="30"/>
        <v>0.3401360544217687</v>
      </c>
      <c r="AY49" s="129">
        <f t="shared" si="30"/>
        <v>0.19685039370078738</v>
      </c>
      <c r="AZ49" s="129">
        <f t="shared" si="30"/>
        <v>0.37821482602118006</v>
      </c>
      <c r="BA49" s="129">
        <f t="shared" si="30"/>
        <v>0.06093845216331505</v>
      </c>
      <c r="BB49" s="129">
        <f t="shared" si="30"/>
        <v>0.07421150278293136</v>
      </c>
      <c r="BC49" s="129">
        <f t="shared" si="30"/>
        <v>0.22779043280182232</v>
      </c>
      <c r="BD49" s="129">
        <f t="shared" si="30"/>
        <v>0.06501950585175553</v>
      </c>
      <c r="BE49" s="129">
        <f t="shared" si="30"/>
        <v>0.21033653846153846</v>
      </c>
      <c r="BF49" s="129">
        <f t="shared" si="30"/>
        <v>0.16363636363636364</v>
      </c>
      <c r="BG49" s="129">
        <f t="shared" si="30"/>
        <v>0.5716207128446537</v>
      </c>
      <c r="BH49" s="129">
        <f t="shared" si="30"/>
        <v>0.24891101431238333</v>
      </c>
      <c r="BI49" s="129">
        <f t="shared" si="30"/>
        <v>0.11148272017837235</v>
      </c>
      <c r="BJ49" s="129">
        <f t="shared" si="30"/>
        <v>0.33444816053511706</v>
      </c>
      <c r="BK49" s="129">
        <f t="shared" si="30"/>
        <v>0.2218741842860872</v>
      </c>
      <c r="BL49" s="129">
        <f t="shared" si="30"/>
        <v>0.24050024050024052</v>
      </c>
      <c r="BM49" s="129">
        <f t="shared" si="30"/>
        <v>0.11522779648998405</v>
      </c>
      <c r="BN49" s="129">
        <f t="shared" si="30"/>
        <v>0.3600153198008426</v>
      </c>
      <c r="BO49" s="129">
        <f t="shared" si="30"/>
        <v>0.2508361204013378</v>
      </c>
      <c r="BP49" s="129">
        <f t="shared" si="30"/>
        <v>0.22759841524066424</v>
      </c>
    </row>
    <row r="50" spans="1:68" ht="15">
      <c r="A50" s="3" t="s">
        <v>263</v>
      </c>
      <c r="B50" s="192">
        <f t="shared" si="7"/>
        <v>2.4298823833527208</v>
      </c>
      <c r="C50" s="193">
        <f t="shared" si="8"/>
        <v>18.10779371849554</v>
      </c>
      <c r="D50" s="192">
        <f t="shared" si="9"/>
        <v>22.127439576063075</v>
      </c>
      <c r="E50" s="193">
        <f t="shared" si="10"/>
        <v>12.084787385291456</v>
      </c>
      <c r="F50" s="193">
        <f t="shared" si="11"/>
        <v>8.478738529145664</v>
      </c>
      <c r="G50" s="193">
        <f t="shared" si="12"/>
        <v>3.3734005428460647</v>
      </c>
      <c r="H50" s="193">
        <f t="shared" si="13"/>
        <v>9.758304252294172</v>
      </c>
      <c r="I50" s="193">
        <f t="shared" si="14"/>
        <v>4.27814398345612</v>
      </c>
      <c r="J50" s="193">
        <f t="shared" si="15"/>
        <v>6.643401835336695</v>
      </c>
      <c r="K50" s="193">
        <f t="shared" si="16"/>
        <v>1.3958898797983714</v>
      </c>
      <c r="L50" s="193">
        <f t="shared" si="17"/>
        <v>11.322217913920124</v>
      </c>
      <c r="M50" s="192">
        <f t="shared" si="18"/>
        <v>20.537676101848263</v>
      </c>
      <c r="N50" s="208">
        <f t="shared" si="19"/>
        <v>8.039291715135064</v>
      </c>
      <c r="O50" s="196">
        <f t="shared" si="20"/>
        <v>100</v>
      </c>
      <c r="AR50" s="215" t="s">
        <v>354</v>
      </c>
      <c r="AS50" s="216">
        <f>(AS20/AS28)*100</f>
        <v>6.834243600710667</v>
      </c>
      <c r="AT50" s="216">
        <f aca="true" t="shared" si="31" ref="AT50:BP50">(AT20/AT28)*100</f>
        <v>7.947331295556078</v>
      </c>
      <c r="AU50" s="216">
        <f t="shared" si="31"/>
        <v>16.666666666666664</v>
      </c>
      <c r="AV50" s="216">
        <f t="shared" si="31"/>
        <v>5.174021131137352</v>
      </c>
      <c r="AW50" s="216">
        <f t="shared" si="31"/>
        <v>30.925324675324678</v>
      </c>
      <c r="AX50" s="216">
        <f t="shared" si="31"/>
        <v>20.068027210884352</v>
      </c>
      <c r="AY50" s="216">
        <f t="shared" si="31"/>
        <v>7.381889763779527</v>
      </c>
      <c r="AZ50" s="216">
        <f t="shared" si="31"/>
        <v>11.422087745839637</v>
      </c>
      <c r="BA50" s="216">
        <f t="shared" si="31"/>
        <v>7.5258988421694095</v>
      </c>
      <c r="BB50" s="216">
        <f t="shared" si="31"/>
        <v>10.204081632653061</v>
      </c>
      <c r="BC50" s="216">
        <f t="shared" si="31"/>
        <v>11.617312072892938</v>
      </c>
      <c r="BD50" s="216">
        <f t="shared" si="31"/>
        <v>6.11183355006502</v>
      </c>
      <c r="BE50" s="216">
        <f t="shared" si="31"/>
        <v>9.07451923076923</v>
      </c>
      <c r="BF50" s="216">
        <f t="shared" si="31"/>
        <v>30.981818181818184</v>
      </c>
      <c r="BG50" s="216">
        <f t="shared" si="31"/>
        <v>28.36247478143914</v>
      </c>
      <c r="BH50" s="216">
        <f t="shared" si="31"/>
        <v>27.629122588674548</v>
      </c>
      <c r="BI50" s="216">
        <f t="shared" si="31"/>
        <v>9.253065774804906</v>
      </c>
      <c r="BJ50" s="216">
        <f t="shared" si="31"/>
        <v>12.441471571906353</v>
      </c>
      <c r="BK50" s="216">
        <f t="shared" si="31"/>
        <v>6.5658695259321735</v>
      </c>
      <c r="BL50" s="216">
        <f t="shared" si="31"/>
        <v>17.436267436267435</v>
      </c>
      <c r="BM50" s="216">
        <f t="shared" si="31"/>
        <v>8.58890267683035</v>
      </c>
      <c r="BN50" s="216">
        <f t="shared" si="31"/>
        <v>29.375718115664494</v>
      </c>
      <c r="BO50" s="216">
        <f t="shared" si="31"/>
        <v>11.24581939799331</v>
      </c>
      <c r="BP50" s="216">
        <f t="shared" si="31"/>
        <v>9.454913290368065</v>
      </c>
    </row>
    <row r="51" spans="1:68" ht="15">
      <c r="A51" s="3" t="s">
        <v>264</v>
      </c>
      <c r="B51" s="192">
        <f t="shared" si="7"/>
        <v>0.9382217090069284</v>
      </c>
      <c r="C51" s="193">
        <f t="shared" si="8"/>
        <v>7.505773672055427</v>
      </c>
      <c r="D51" s="192">
        <f t="shared" si="9"/>
        <v>11.95150115473441</v>
      </c>
      <c r="E51" s="193">
        <f t="shared" si="10"/>
        <v>7.953233256351039</v>
      </c>
      <c r="F51" s="193">
        <f t="shared" si="11"/>
        <v>12.326789838337183</v>
      </c>
      <c r="G51" s="193">
        <f t="shared" si="12"/>
        <v>3.262124711316397</v>
      </c>
      <c r="H51" s="193">
        <f t="shared" si="13"/>
        <v>9.815242494226329</v>
      </c>
      <c r="I51" s="193">
        <f t="shared" si="14"/>
        <v>4.359122401847575</v>
      </c>
      <c r="J51" s="193">
        <f t="shared" si="15"/>
        <v>21.478060046189377</v>
      </c>
      <c r="K51" s="193">
        <f t="shared" si="16"/>
        <v>1.7321016166281753</v>
      </c>
      <c r="L51" s="193">
        <f t="shared" si="17"/>
        <v>18.677829099307157</v>
      </c>
      <c r="M51" s="192">
        <f t="shared" si="18"/>
        <v>8.443995381062356</v>
      </c>
      <c r="N51" s="208">
        <f t="shared" si="19"/>
        <v>23.21016166281755</v>
      </c>
      <c r="O51" s="196">
        <f t="shared" si="20"/>
        <v>100</v>
      </c>
      <c r="AR51" s="214" t="s">
        <v>355</v>
      </c>
      <c r="AS51" s="129">
        <f>(AS21/AS28)*100</f>
        <v>3.9928933342106996</v>
      </c>
      <c r="AT51" s="129">
        <f aca="true" t="shared" si="32" ref="AT51:BP51">(AT21/AT28)*100</f>
        <v>2.6804608511638843</v>
      </c>
      <c r="AU51" s="129">
        <f t="shared" si="32"/>
        <v>15</v>
      </c>
      <c r="AV51" s="129">
        <f t="shared" si="32"/>
        <v>3.760099440646364</v>
      </c>
      <c r="AW51" s="129">
        <f t="shared" si="32"/>
        <v>25.811688311688314</v>
      </c>
      <c r="AX51" s="129">
        <f t="shared" si="32"/>
        <v>16.156462585034014</v>
      </c>
      <c r="AY51" s="129">
        <f t="shared" si="32"/>
        <v>5.019685039370079</v>
      </c>
      <c r="AZ51" s="129">
        <f t="shared" si="32"/>
        <v>8.472012102874432</v>
      </c>
      <c r="BA51" s="129">
        <f t="shared" si="32"/>
        <v>2.315661182205972</v>
      </c>
      <c r="BB51" s="129">
        <f t="shared" si="32"/>
        <v>6.567717996289425</v>
      </c>
      <c r="BC51" s="129">
        <f t="shared" si="32"/>
        <v>7.061503416856492</v>
      </c>
      <c r="BD51" s="129">
        <f t="shared" si="32"/>
        <v>3.6410923276983094</v>
      </c>
      <c r="BE51" s="129">
        <f t="shared" si="32"/>
        <v>5.46875</v>
      </c>
      <c r="BF51" s="129">
        <f t="shared" si="32"/>
        <v>24.745454545454546</v>
      </c>
      <c r="BG51" s="129">
        <f t="shared" si="32"/>
        <v>17.45124411566913</v>
      </c>
      <c r="BH51" s="129">
        <f t="shared" si="32"/>
        <v>21.406347230864966</v>
      </c>
      <c r="BI51" s="129">
        <f t="shared" si="32"/>
        <v>6.688963210702341</v>
      </c>
      <c r="BJ51" s="129">
        <f t="shared" si="32"/>
        <v>8.361204013377927</v>
      </c>
      <c r="BK51" s="129">
        <f t="shared" si="32"/>
        <v>3.8983595365741017</v>
      </c>
      <c r="BL51" s="129">
        <f t="shared" si="32"/>
        <v>13.852813852813853</v>
      </c>
      <c r="BM51" s="129">
        <f t="shared" si="32"/>
        <v>4.626839212905513</v>
      </c>
      <c r="BN51" s="129">
        <f t="shared" si="32"/>
        <v>21.01110685561088</v>
      </c>
      <c r="BO51" s="129">
        <f t="shared" si="32"/>
        <v>7.734113712374582</v>
      </c>
      <c r="BP51" s="129">
        <f t="shared" si="32"/>
        <v>6.060861502149541</v>
      </c>
    </row>
    <row r="52" spans="1:68" ht="15">
      <c r="A52" s="3" t="s">
        <v>265</v>
      </c>
      <c r="B52" s="192">
        <f t="shared" si="7"/>
        <v>1.412180052956752</v>
      </c>
      <c r="C52" s="193">
        <f t="shared" si="8"/>
        <v>9.443954104148279</v>
      </c>
      <c r="D52" s="192">
        <f t="shared" si="9"/>
        <v>15.35745807590468</v>
      </c>
      <c r="E52" s="193">
        <f t="shared" si="10"/>
        <v>8.8261253309797</v>
      </c>
      <c r="F52" s="193">
        <f t="shared" si="11"/>
        <v>7.590467784642542</v>
      </c>
      <c r="G52" s="193">
        <f t="shared" si="12"/>
        <v>4.41306266548985</v>
      </c>
      <c r="H52" s="193">
        <f t="shared" si="13"/>
        <v>10.767872903795233</v>
      </c>
      <c r="I52" s="193">
        <f t="shared" si="14"/>
        <v>5.207413945278023</v>
      </c>
      <c r="J52" s="193">
        <f t="shared" si="15"/>
        <v>14.210061782877318</v>
      </c>
      <c r="K52" s="193">
        <f t="shared" si="16"/>
        <v>2.0300088261253313</v>
      </c>
      <c r="L52" s="193">
        <f t="shared" si="17"/>
        <v>20.741394527802296</v>
      </c>
      <c r="M52" s="192">
        <f t="shared" si="18"/>
        <v>10.85613415710503</v>
      </c>
      <c r="N52" s="208">
        <f t="shared" si="19"/>
        <v>16.24007060900265</v>
      </c>
      <c r="O52" s="196">
        <f t="shared" si="20"/>
        <v>100</v>
      </c>
      <c r="AR52" s="214" t="s">
        <v>356</v>
      </c>
      <c r="AS52" s="129">
        <f>(AS22/AS28)*100</f>
        <v>2.841350266499967</v>
      </c>
      <c r="AT52" s="129">
        <f aca="true" t="shared" si="33" ref="AT52:BP52">(AT22/AT28)*100</f>
        <v>5.266870444392194</v>
      </c>
      <c r="AU52" s="129">
        <f t="shared" si="33"/>
        <v>1.6666666666666667</v>
      </c>
      <c r="AV52" s="129">
        <f t="shared" si="33"/>
        <v>1.4139216904909884</v>
      </c>
      <c r="AW52" s="129">
        <f t="shared" si="33"/>
        <v>5.113636363636364</v>
      </c>
      <c r="AX52" s="129">
        <f t="shared" si="33"/>
        <v>3.9115646258503403</v>
      </c>
      <c r="AY52" s="129">
        <f t="shared" si="33"/>
        <v>2.3622047244094486</v>
      </c>
      <c r="AZ52" s="129">
        <f t="shared" si="33"/>
        <v>2.950075642965204</v>
      </c>
      <c r="BA52" s="129">
        <f t="shared" si="33"/>
        <v>5.210237659963437</v>
      </c>
      <c r="BB52" s="129">
        <f t="shared" si="33"/>
        <v>3.6363636363636362</v>
      </c>
      <c r="BC52" s="129">
        <f t="shared" si="33"/>
        <v>4.555808656036446</v>
      </c>
      <c r="BD52" s="129">
        <f t="shared" si="33"/>
        <v>2.4707412223667102</v>
      </c>
      <c r="BE52" s="129">
        <f t="shared" si="33"/>
        <v>3.6057692307692304</v>
      </c>
      <c r="BF52" s="129">
        <f t="shared" si="33"/>
        <v>6.236363636363636</v>
      </c>
      <c r="BG52" s="129">
        <f t="shared" si="33"/>
        <v>10.911230665770006</v>
      </c>
      <c r="BH52" s="129">
        <f t="shared" si="33"/>
        <v>6.222775357809583</v>
      </c>
      <c r="BI52" s="129">
        <f t="shared" si="33"/>
        <v>2.564102564102564</v>
      </c>
      <c r="BJ52" s="129">
        <f t="shared" si="33"/>
        <v>4.080267558528428</v>
      </c>
      <c r="BK52" s="129">
        <f t="shared" si="33"/>
        <v>2.6675099893580705</v>
      </c>
      <c r="BL52" s="129">
        <f t="shared" si="33"/>
        <v>3.5834535834535837</v>
      </c>
      <c r="BM52" s="129">
        <f t="shared" si="33"/>
        <v>3.9620634639248355</v>
      </c>
      <c r="BN52" s="129">
        <f t="shared" si="33"/>
        <v>8.36461126005362</v>
      </c>
      <c r="BO52" s="129">
        <f t="shared" si="33"/>
        <v>3.511705685618729</v>
      </c>
      <c r="BP52" s="129">
        <f t="shared" si="33"/>
        <v>3.3940517882185253</v>
      </c>
    </row>
    <row r="53" spans="1:68" ht="15">
      <c r="A53" s="3" t="s">
        <v>266</v>
      </c>
      <c r="B53" s="192">
        <f t="shared" si="7"/>
        <v>2.7098674521354935</v>
      </c>
      <c r="C53" s="193">
        <f t="shared" si="8"/>
        <v>21.973490427098675</v>
      </c>
      <c r="D53" s="192">
        <f t="shared" si="9"/>
        <v>24.153166421207658</v>
      </c>
      <c r="E53" s="193">
        <f t="shared" si="10"/>
        <v>8.65979381443299</v>
      </c>
      <c r="F53" s="193">
        <f t="shared" si="11"/>
        <v>7.952871870397643</v>
      </c>
      <c r="G53" s="193">
        <f t="shared" si="12"/>
        <v>4.123711340206185</v>
      </c>
      <c r="H53" s="193">
        <f t="shared" si="13"/>
        <v>5.360824742268041</v>
      </c>
      <c r="I53" s="193">
        <f t="shared" si="14"/>
        <v>3.4167893961708393</v>
      </c>
      <c r="J53" s="193">
        <f t="shared" si="15"/>
        <v>4.270986745213549</v>
      </c>
      <c r="K53" s="193">
        <f t="shared" si="16"/>
        <v>1.5022091310751104</v>
      </c>
      <c r="L53" s="193">
        <f t="shared" si="17"/>
        <v>15.876288659793813</v>
      </c>
      <c r="M53" s="192">
        <f t="shared" si="18"/>
        <v>24.68335787923417</v>
      </c>
      <c r="N53" s="208">
        <f t="shared" si="19"/>
        <v>5.77319587628866</v>
      </c>
      <c r="O53" s="196">
        <f t="shared" si="20"/>
        <v>99.99999999999999</v>
      </c>
      <c r="AR53" s="213" t="s">
        <v>357</v>
      </c>
      <c r="AS53" s="130">
        <f>(AS23/AS28)*100</f>
        <v>17.466605251036388</v>
      </c>
      <c r="AT53" s="130">
        <f aca="true" t="shared" si="34" ref="AT53:BP53">(AT23/AT28)*100</f>
        <v>16.717611098048437</v>
      </c>
      <c r="AU53" s="130">
        <f t="shared" si="34"/>
        <v>20</v>
      </c>
      <c r="AV53" s="130">
        <f t="shared" si="34"/>
        <v>27.698363372695255</v>
      </c>
      <c r="AW53" s="130">
        <f t="shared" si="34"/>
        <v>14.44805194805195</v>
      </c>
      <c r="AX53" s="130">
        <f t="shared" si="34"/>
        <v>22.61904761904762</v>
      </c>
      <c r="AY53" s="130">
        <f t="shared" si="34"/>
        <v>28.346456692913385</v>
      </c>
      <c r="AZ53" s="130">
        <f t="shared" si="34"/>
        <v>24.886535552193646</v>
      </c>
      <c r="BA53" s="130">
        <f t="shared" si="34"/>
        <v>22.455819622181597</v>
      </c>
      <c r="BB53" s="130">
        <f t="shared" si="34"/>
        <v>21.298701298701296</v>
      </c>
      <c r="BC53" s="130">
        <f t="shared" si="34"/>
        <v>21.64009111617312</v>
      </c>
      <c r="BD53" s="130">
        <f t="shared" si="34"/>
        <v>23.5370611183355</v>
      </c>
      <c r="BE53" s="130">
        <f t="shared" si="34"/>
        <v>23.287259615384613</v>
      </c>
      <c r="BF53" s="130">
        <f t="shared" si="34"/>
        <v>16.563636363636363</v>
      </c>
      <c r="BG53" s="130">
        <f t="shared" si="34"/>
        <v>11.499663752521856</v>
      </c>
      <c r="BH53" s="130">
        <f t="shared" si="34"/>
        <v>22.899813316739266</v>
      </c>
      <c r="BI53" s="130">
        <f t="shared" si="34"/>
        <v>23.634336677814936</v>
      </c>
      <c r="BJ53" s="130">
        <f t="shared" si="34"/>
        <v>25.551839464882942</v>
      </c>
      <c r="BK53" s="130">
        <f t="shared" si="34"/>
        <v>19.419512880750155</v>
      </c>
      <c r="BL53" s="130">
        <f t="shared" si="34"/>
        <v>22.318422318422318</v>
      </c>
      <c r="BM53" s="130">
        <f t="shared" si="34"/>
        <v>22.540329728771493</v>
      </c>
      <c r="BN53" s="130">
        <f t="shared" si="34"/>
        <v>15.036384527001148</v>
      </c>
      <c r="BO53" s="130">
        <f t="shared" si="34"/>
        <v>24.83277591973244</v>
      </c>
      <c r="BP53" s="130">
        <f t="shared" si="34"/>
        <v>19.442422198891897</v>
      </c>
    </row>
    <row r="54" spans="1:68" ht="15">
      <c r="A54" s="3" t="s">
        <v>267</v>
      </c>
      <c r="B54" s="192">
        <f t="shared" si="7"/>
        <v>1.8751573118550215</v>
      </c>
      <c r="C54" s="193">
        <f t="shared" si="8"/>
        <v>9.728165114523032</v>
      </c>
      <c r="D54" s="192">
        <f t="shared" si="9"/>
        <v>21.721620941354143</v>
      </c>
      <c r="E54" s="193">
        <f t="shared" si="10"/>
        <v>9.791089856531588</v>
      </c>
      <c r="F54" s="193">
        <f t="shared" si="11"/>
        <v>6.909136672539643</v>
      </c>
      <c r="G54" s="193">
        <f t="shared" si="12"/>
        <v>4.983639567077775</v>
      </c>
      <c r="H54" s="193">
        <f t="shared" si="13"/>
        <v>12.333249433677322</v>
      </c>
      <c r="I54" s="193">
        <f t="shared" si="14"/>
        <v>7.362194815001258</v>
      </c>
      <c r="J54" s="193">
        <f t="shared" si="15"/>
        <v>8.016612131890259</v>
      </c>
      <c r="K54" s="193">
        <f t="shared" si="16"/>
        <v>1.346589478983136</v>
      </c>
      <c r="L54" s="193">
        <f t="shared" si="17"/>
        <v>15.932544676566826</v>
      </c>
      <c r="M54" s="192">
        <f t="shared" si="18"/>
        <v>11.603322426378051</v>
      </c>
      <c r="N54" s="208">
        <f t="shared" si="19"/>
        <v>9.363201610873395</v>
      </c>
      <c r="O54" s="196">
        <f t="shared" si="20"/>
        <v>100</v>
      </c>
      <c r="AR54" s="214" t="s">
        <v>358</v>
      </c>
      <c r="AS54" s="129">
        <f>(AS24/AS28)*100</f>
        <v>1.6805948542475488</v>
      </c>
      <c r="AT54" s="129">
        <f aca="true" t="shared" si="35" ref="AT54:BP54">(AT24/AT28)*100</f>
        <v>1.5518457559369858</v>
      </c>
      <c r="AU54" s="129">
        <f t="shared" si="35"/>
        <v>0</v>
      </c>
      <c r="AV54" s="129">
        <f t="shared" si="35"/>
        <v>3.019473793246323</v>
      </c>
      <c r="AW54" s="129">
        <f t="shared" si="35"/>
        <v>3.0032467532467533</v>
      </c>
      <c r="AX54" s="129">
        <f t="shared" si="35"/>
        <v>3.741496598639456</v>
      </c>
      <c r="AY54" s="129">
        <f t="shared" si="35"/>
        <v>3.149606299212598</v>
      </c>
      <c r="AZ54" s="129">
        <f t="shared" si="35"/>
        <v>3.7821482602118004</v>
      </c>
      <c r="BA54" s="129">
        <f t="shared" si="35"/>
        <v>6.6727605118829985</v>
      </c>
      <c r="BB54" s="129">
        <f t="shared" si="35"/>
        <v>10.241187384044528</v>
      </c>
      <c r="BC54" s="129">
        <f t="shared" si="35"/>
        <v>10.478359908883828</v>
      </c>
      <c r="BD54" s="129">
        <f t="shared" si="35"/>
        <v>3.3159947984395317</v>
      </c>
      <c r="BE54" s="129">
        <f t="shared" si="35"/>
        <v>6.610576923076923</v>
      </c>
      <c r="BF54" s="129">
        <f t="shared" si="35"/>
        <v>7.527272727272727</v>
      </c>
      <c r="BG54" s="129">
        <f t="shared" si="35"/>
        <v>4.976462676529926</v>
      </c>
      <c r="BH54" s="129">
        <f t="shared" si="35"/>
        <v>9.645301804604854</v>
      </c>
      <c r="BI54" s="129">
        <f t="shared" si="35"/>
        <v>3.79041248606466</v>
      </c>
      <c r="BJ54" s="129">
        <f t="shared" si="35"/>
        <v>4.615384615384616</v>
      </c>
      <c r="BK54" s="129">
        <f t="shared" si="35"/>
        <v>1.933618456719475</v>
      </c>
      <c r="BL54" s="129">
        <f t="shared" si="35"/>
        <v>3.3910533910533913</v>
      </c>
      <c r="BM54" s="129">
        <f t="shared" si="35"/>
        <v>7.197305442297465</v>
      </c>
      <c r="BN54" s="129">
        <f t="shared" si="35"/>
        <v>6.625813864419762</v>
      </c>
      <c r="BO54" s="129">
        <f t="shared" si="35"/>
        <v>4.306020066889632</v>
      </c>
      <c r="BP54" s="129">
        <f t="shared" si="35"/>
        <v>2.948050853302476</v>
      </c>
    </row>
    <row r="55" spans="1:68" ht="15">
      <c r="A55" s="67" t="s">
        <v>134</v>
      </c>
      <c r="B55" s="116">
        <f t="shared" si="7"/>
        <v>1.2267169935176827</v>
      </c>
      <c r="C55" s="155">
        <f t="shared" si="8"/>
        <v>5.185853778616559</v>
      </c>
      <c r="D55" s="116">
        <f t="shared" si="9"/>
        <v>18.958726511856895</v>
      </c>
      <c r="E55" s="155">
        <f t="shared" si="10"/>
        <v>11.742020185443506</v>
      </c>
      <c r="F55" s="155">
        <f t="shared" si="11"/>
        <v>5.395093132025929</v>
      </c>
      <c r="G55" s="155">
        <f t="shared" si="12"/>
        <v>5.132518257159268</v>
      </c>
      <c r="H55" s="155">
        <f t="shared" si="13"/>
        <v>14.618035611717403</v>
      </c>
      <c r="I55" s="155">
        <f t="shared" si="14"/>
        <v>9.18601788791335</v>
      </c>
      <c r="J55" s="155">
        <f t="shared" si="15"/>
        <v>8.989086731763354</v>
      </c>
      <c r="K55" s="155">
        <f t="shared" si="16"/>
        <v>3.9468285878395006</v>
      </c>
      <c r="L55" s="155">
        <f t="shared" si="17"/>
        <v>15.61910232214655</v>
      </c>
      <c r="M55" s="116">
        <f t="shared" si="18"/>
        <v>6.412570772134242</v>
      </c>
      <c r="N55" s="156">
        <f t="shared" si="19"/>
        <v>12.935915319602856</v>
      </c>
      <c r="O55" s="164">
        <f t="shared" si="20"/>
        <v>99.99999999999999</v>
      </c>
      <c r="AR55" s="214" t="s">
        <v>359</v>
      </c>
      <c r="AS55" s="129">
        <f>(AS25/AS28)*100</f>
        <v>0.5395801802987431</v>
      </c>
      <c r="AT55" s="129">
        <f aca="true" t="shared" si="36" ref="AT55:BP55">(AT25/AT28)*100</f>
        <v>0.28215377380672463</v>
      </c>
      <c r="AU55" s="129">
        <f t="shared" si="36"/>
        <v>1.6666666666666667</v>
      </c>
      <c r="AV55" s="129">
        <f t="shared" si="36"/>
        <v>0.580070437124508</v>
      </c>
      <c r="AW55" s="129">
        <f t="shared" si="36"/>
        <v>0.8928571428571428</v>
      </c>
      <c r="AX55" s="129">
        <f t="shared" si="36"/>
        <v>1.3605442176870748</v>
      </c>
      <c r="AY55" s="129">
        <f t="shared" si="36"/>
        <v>1.968503937007874</v>
      </c>
      <c r="AZ55" s="129">
        <f t="shared" si="36"/>
        <v>1.361573373676248</v>
      </c>
      <c r="BA55" s="129">
        <f t="shared" si="36"/>
        <v>1.6758074344911638</v>
      </c>
      <c r="BB55" s="129">
        <f t="shared" si="36"/>
        <v>0.9647495361781077</v>
      </c>
      <c r="BC55" s="129">
        <f t="shared" si="36"/>
        <v>5.0113895216400905</v>
      </c>
      <c r="BD55" s="129">
        <f t="shared" si="36"/>
        <v>2.990897269180754</v>
      </c>
      <c r="BE55" s="129">
        <f t="shared" si="36"/>
        <v>1.7728365384615383</v>
      </c>
      <c r="BF55" s="129">
        <f t="shared" si="36"/>
        <v>1.1090909090909091</v>
      </c>
      <c r="BG55" s="129">
        <f t="shared" si="36"/>
        <v>0.28581035642232683</v>
      </c>
      <c r="BH55" s="129">
        <f t="shared" si="36"/>
        <v>1.1823273179838207</v>
      </c>
      <c r="BI55" s="129">
        <f t="shared" si="36"/>
        <v>4.793756967670011</v>
      </c>
      <c r="BJ55" s="129">
        <f t="shared" si="36"/>
        <v>1.6722408026755853</v>
      </c>
      <c r="BK55" s="129">
        <f t="shared" si="36"/>
        <v>0.5371162379776319</v>
      </c>
      <c r="BL55" s="129">
        <f t="shared" si="36"/>
        <v>1.3708513708513708</v>
      </c>
      <c r="BM55" s="129">
        <f t="shared" si="36"/>
        <v>1.8436447438397447</v>
      </c>
      <c r="BN55" s="129">
        <f t="shared" si="36"/>
        <v>0.7430103408655688</v>
      </c>
      <c r="BO55" s="129">
        <f t="shared" si="36"/>
        <v>2.842809364548495</v>
      </c>
      <c r="BP55" s="129">
        <f t="shared" si="36"/>
        <v>0.7395032683745488</v>
      </c>
    </row>
    <row r="56" spans="1:68" ht="15">
      <c r="A56" s="3" t="s">
        <v>268</v>
      </c>
      <c r="B56" s="192">
        <f t="shared" si="7"/>
        <v>1.1551936369661964</v>
      </c>
      <c r="C56" s="193">
        <f t="shared" si="8"/>
        <v>6.70391061452514</v>
      </c>
      <c r="D56" s="192">
        <f t="shared" si="9"/>
        <v>18.274784584793107</v>
      </c>
      <c r="E56" s="193">
        <f t="shared" si="10"/>
        <v>9.364643499668592</v>
      </c>
      <c r="F56" s="193">
        <f t="shared" si="11"/>
        <v>4.942713758166841</v>
      </c>
      <c r="G56" s="193">
        <f t="shared" si="12"/>
        <v>4.260960136350724</v>
      </c>
      <c r="H56" s="193">
        <f t="shared" si="13"/>
        <v>13.530915632989302</v>
      </c>
      <c r="I56" s="193">
        <f t="shared" si="14"/>
        <v>7.783353849067323</v>
      </c>
      <c r="J56" s="193">
        <f t="shared" si="15"/>
        <v>11.012214752390873</v>
      </c>
      <c r="K56" s="193">
        <f t="shared" si="16"/>
        <v>3.276204904838557</v>
      </c>
      <c r="L56" s="193">
        <f t="shared" si="17"/>
        <v>19.69510463024335</v>
      </c>
      <c r="M56" s="192">
        <f t="shared" si="18"/>
        <v>7.8591042514913365</v>
      </c>
      <c r="N56" s="208">
        <f t="shared" si="19"/>
        <v>14.28841965722943</v>
      </c>
      <c r="O56" s="196">
        <f t="shared" si="20"/>
        <v>100</v>
      </c>
      <c r="AR56" s="214" t="s">
        <v>360</v>
      </c>
      <c r="AS56" s="129">
        <f>(AS26/AS28)*100</f>
        <v>0.27900243469105745</v>
      </c>
      <c r="AT56" s="129">
        <f aca="true" t="shared" si="37" ref="AT56:BP56">(AT26/AT28)*100</f>
        <v>0.423230660710087</v>
      </c>
      <c r="AU56" s="129">
        <f t="shared" si="37"/>
        <v>0</v>
      </c>
      <c r="AV56" s="129">
        <f t="shared" si="37"/>
        <v>0.06732960430909467</v>
      </c>
      <c r="AW56" s="129">
        <f t="shared" si="37"/>
        <v>0.16233766233766234</v>
      </c>
      <c r="AX56" s="129">
        <f t="shared" si="37"/>
        <v>0.17006802721088435</v>
      </c>
      <c r="AY56" s="129">
        <f t="shared" si="37"/>
        <v>0.2952755905511811</v>
      </c>
      <c r="AZ56" s="129">
        <f t="shared" si="37"/>
        <v>0.37821482602118006</v>
      </c>
      <c r="BA56" s="129">
        <f t="shared" si="37"/>
        <v>0.21328458257160268</v>
      </c>
      <c r="BB56" s="129">
        <f t="shared" si="37"/>
        <v>0.03710575139146568</v>
      </c>
      <c r="BC56" s="129">
        <f t="shared" si="37"/>
        <v>0</v>
      </c>
      <c r="BD56" s="129">
        <f t="shared" si="37"/>
        <v>0</v>
      </c>
      <c r="BE56" s="129">
        <f t="shared" si="37"/>
        <v>0.2403846153846154</v>
      </c>
      <c r="BF56" s="129">
        <f t="shared" si="37"/>
        <v>0.03636363636363636</v>
      </c>
      <c r="BG56" s="129">
        <f t="shared" si="37"/>
        <v>0.3530598520511096</v>
      </c>
      <c r="BH56" s="129">
        <f t="shared" si="37"/>
        <v>0.18668326073428748</v>
      </c>
      <c r="BI56" s="129">
        <f t="shared" si="37"/>
        <v>0.11148272017837235</v>
      </c>
      <c r="BJ56" s="129">
        <f t="shared" si="37"/>
        <v>0.13377926421404682</v>
      </c>
      <c r="BK56" s="129">
        <f t="shared" si="37"/>
        <v>0.2439612071561954</v>
      </c>
      <c r="BL56" s="129">
        <f t="shared" si="37"/>
        <v>0.26455026455026454</v>
      </c>
      <c r="BM56" s="129">
        <f t="shared" si="37"/>
        <v>0.14181882644921112</v>
      </c>
      <c r="BN56" s="129">
        <f t="shared" si="37"/>
        <v>0.19915741095365758</v>
      </c>
      <c r="BO56" s="129">
        <f t="shared" si="37"/>
        <v>0.1254180602006689</v>
      </c>
      <c r="BP56" s="129">
        <f t="shared" si="37"/>
        <v>0.22913106450154416</v>
      </c>
    </row>
    <row r="57" spans="1:68" ht="15">
      <c r="A57" s="3" t="s">
        <v>269</v>
      </c>
      <c r="B57" s="192">
        <f t="shared" si="7"/>
        <v>1.308977239425613</v>
      </c>
      <c r="C57" s="193">
        <f t="shared" si="8"/>
        <v>3.8780892839699135</v>
      </c>
      <c r="D57" s="192">
        <f t="shared" si="9"/>
        <v>19.80072286802774</v>
      </c>
      <c r="E57" s="193">
        <f t="shared" si="10"/>
        <v>14.26199081762235</v>
      </c>
      <c r="F57" s="193">
        <f t="shared" si="11"/>
        <v>5.841555143108333</v>
      </c>
      <c r="G57" s="193">
        <f t="shared" si="12"/>
        <v>6.349516459900362</v>
      </c>
      <c r="H57" s="193">
        <f t="shared" si="13"/>
        <v>16.557585230047867</v>
      </c>
      <c r="I57" s="193">
        <f t="shared" si="14"/>
        <v>10.88209436358308</v>
      </c>
      <c r="J57" s="193">
        <f t="shared" si="15"/>
        <v>6.417895867930058</v>
      </c>
      <c r="K57" s="193">
        <f t="shared" si="16"/>
        <v>4.4348930350688684</v>
      </c>
      <c r="L57" s="193">
        <f t="shared" si="17"/>
        <v>10.266679691315815</v>
      </c>
      <c r="M57" s="192">
        <f t="shared" si="18"/>
        <v>5.187066523395526</v>
      </c>
      <c r="N57" s="208">
        <f t="shared" si="19"/>
        <v>10.852788902998926</v>
      </c>
      <c r="O57" s="196">
        <f t="shared" si="20"/>
        <v>100</v>
      </c>
      <c r="AR57" s="214" t="s">
        <v>361</v>
      </c>
      <c r="AS57" s="129">
        <f>(AS27/AS28)*100</f>
        <v>14.967427781799039</v>
      </c>
      <c r="AT57" s="129">
        <f aca="true" t="shared" si="38" ref="AT57:BP57">(AT27/AT28)*100</f>
        <v>14.460380907594638</v>
      </c>
      <c r="AU57" s="129">
        <f t="shared" si="38"/>
        <v>18.333333333333332</v>
      </c>
      <c r="AV57" s="129">
        <f t="shared" si="38"/>
        <v>24.03148953801533</v>
      </c>
      <c r="AW57" s="129">
        <f t="shared" si="38"/>
        <v>10.38961038961039</v>
      </c>
      <c r="AX57" s="129">
        <f t="shared" si="38"/>
        <v>17.346938775510203</v>
      </c>
      <c r="AY57" s="129">
        <f t="shared" si="38"/>
        <v>22.933070866141733</v>
      </c>
      <c r="AZ57" s="129">
        <f t="shared" si="38"/>
        <v>19.36459909228442</v>
      </c>
      <c r="BA57" s="129">
        <f t="shared" si="38"/>
        <v>13.893967093235831</v>
      </c>
      <c r="BB57" s="129">
        <f t="shared" si="38"/>
        <v>10.055658627087197</v>
      </c>
      <c r="BC57" s="129">
        <f t="shared" si="38"/>
        <v>6.150341685649203</v>
      </c>
      <c r="BD57" s="129">
        <f t="shared" si="38"/>
        <v>17.23016905071521</v>
      </c>
      <c r="BE57" s="129">
        <f t="shared" si="38"/>
        <v>14.663461538461538</v>
      </c>
      <c r="BF57" s="129">
        <f t="shared" si="38"/>
        <v>7.8909090909090915</v>
      </c>
      <c r="BG57" s="129">
        <f t="shared" si="38"/>
        <v>5.884330867518493</v>
      </c>
      <c r="BH57" s="129">
        <f t="shared" si="38"/>
        <v>11.885500933416305</v>
      </c>
      <c r="BI57" s="129">
        <f t="shared" si="38"/>
        <v>14.938684503901895</v>
      </c>
      <c r="BJ57" s="129">
        <f t="shared" si="38"/>
        <v>19.130434782608695</v>
      </c>
      <c r="BK57" s="129">
        <f t="shared" si="38"/>
        <v>16.70481697889685</v>
      </c>
      <c r="BL57" s="129">
        <f t="shared" si="38"/>
        <v>17.291967291967293</v>
      </c>
      <c r="BM57" s="129">
        <f t="shared" si="38"/>
        <v>13.357560716185073</v>
      </c>
      <c r="BN57" s="129">
        <f t="shared" si="38"/>
        <v>7.46840291076216</v>
      </c>
      <c r="BO57" s="129">
        <f t="shared" si="38"/>
        <v>17.558528428093645</v>
      </c>
      <c r="BP57" s="129">
        <f t="shared" si="38"/>
        <v>15.525737012713325</v>
      </c>
    </row>
    <row r="58" spans="1:68" ht="15">
      <c r="A58" s="3" t="s">
        <v>270</v>
      </c>
      <c r="B58" s="192">
        <f t="shared" si="7"/>
        <v>1.2024608501118568</v>
      </c>
      <c r="C58" s="193">
        <f t="shared" si="8"/>
        <v>4.446308724832215</v>
      </c>
      <c r="D58" s="192">
        <f t="shared" si="9"/>
        <v>18.568232662192393</v>
      </c>
      <c r="E58" s="193">
        <f t="shared" si="10"/>
        <v>11.549217002237135</v>
      </c>
      <c r="F58" s="193">
        <f t="shared" si="11"/>
        <v>5.453020134228188</v>
      </c>
      <c r="G58" s="193">
        <f t="shared" si="12"/>
        <v>4.2225950782997765</v>
      </c>
      <c r="H58" s="193">
        <f t="shared" si="13"/>
        <v>12.276286353467562</v>
      </c>
      <c r="I58" s="193">
        <f t="shared" si="14"/>
        <v>8.473154362416107</v>
      </c>
      <c r="J58" s="193">
        <f t="shared" si="15"/>
        <v>10.374720357941834</v>
      </c>
      <c r="K58" s="193">
        <f t="shared" si="16"/>
        <v>4.530201342281879</v>
      </c>
      <c r="L58" s="193">
        <f t="shared" si="17"/>
        <v>18.90380313199105</v>
      </c>
      <c r="M58" s="192">
        <f t="shared" si="18"/>
        <v>5.648769574944072</v>
      </c>
      <c r="N58" s="208">
        <f t="shared" si="19"/>
        <v>14.904921700223714</v>
      </c>
      <c r="O58" s="196">
        <f t="shared" si="20"/>
        <v>100.00000000000001</v>
      </c>
      <c r="AR58" s="210" t="s">
        <v>48</v>
      </c>
      <c r="AS58" s="131">
        <f>AS38+AS39+AS41+AS43+AS44+AS45+AS47+AS48+AS49+AS51+AS52+AS54+AS55+AS56+AS57</f>
        <v>100</v>
      </c>
      <c r="AT58" s="131">
        <f aca="true" t="shared" si="39" ref="AT58:BP58">AT38+AT39+AT41+AT43+AT44+AT45+AT47+AT48+AT49+AT51+AT52+AT54+AT55+AT56+AT57</f>
        <v>100</v>
      </c>
      <c r="AU58" s="131">
        <f t="shared" si="39"/>
        <v>99.99999999999999</v>
      </c>
      <c r="AV58" s="131">
        <f t="shared" si="39"/>
        <v>100</v>
      </c>
      <c r="AW58" s="131">
        <f t="shared" si="39"/>
        <v>99.99999999999997</v>
      </c>
      <c r="AX58" s="131">
        <f t="shared" si="39"/>
        <v>100.00000000000003</v>
      </c>
      <c r="AY58" s="131">
        <f t="shared" si="39"/>
        <v>100</v>
      </c>
      <c r="AZ58" s="131">
        <f t="shared" si="39"/>
        <v>100</v>
      </c>
      <c r="BA58" s="131">
        <f t="shared" si="39"/>
        <v>100.00000000000001</v>
      </c>
      <c r="BB58" s="131">
        <f t="shared" si="39"/>
        <v>100</v>
      </c>
      <c r="BC58" s="131">
        <f t="shared" si="39"/>
        <v>100.00000000000003</v>
      </c>
      <c r="BD58" s="131">
        <f t="shared" si="39"/>
        <v>99.99999999999997</v>
      </c>
      <c r="BE58" s="131">
        <f t="shared" si="39"/>
        <v>99.99999999999997</v>
      </c>
      <c r="BF58" s="131">
        <f t="shared" si="39"/>
        <v>99.99999999999999</v>
      </c>
      <c r="BG58" s="131">
        <f t="shared" si="39"/>
        <v>100</v>
      </c>
      <c r="BH58" s="131">
        <f t="shared" si="39"/>
        <v>100.00000000000001</v>
      </c>
      <c r="BI58" s="131">
        <f t="shared" si="39"/>
        <v>100</v>
      </c>
      <c r="BJ58" s="131">
        <f t="shared" si="39"/>
        <v>100</v>
      </c>
      <c r="BK58" s="131">
        <f t="shared" si="39"/>
        <v>100</v>
      </c>
      <c r="BL58" s="131">
        <f t="shared" si="39"/>
        <v>100.00000000000001</v>
      </c>
      <c r="BM58" s="131">
        <f t="shared" si="39"/>
        <v>100</v>
      </c>
      <c r="BN58" s="131">
        <f t="shared" si="39"/>
        <v>100.00000000000001</v>
      </c>
      <c r="BO58" s="131">
        <f t="shared" si="39"/>
        <v>100</v>
      </c>
      <c r="BP58" s="131">
        <f t="shared" si="39"/>
        <v>99.99999999999999</v>
      </c>
    </row>
    <row r="59" spans="1:68" ht="15">
      <c r="A59" s="67" t="s">
        <v>135</v>
      </c>
      <c r="B59" s="116">
        <f t="shared" si="7"/>
        <v>1.8982536066818527</v>
      </c>
      <c r="C59" s="155">
        <f t="shared" si="8"/>
        <v>10.250569476082005</v>
      </c>
      <c r="D59" s="116">
        <f t="shared" si="9"/>
        <v>20.615034168564918</v>
      </c>
      <c r="E59" s="155">
        <f t="shared" si="10"/>
        <v>8.409263477600607</v>
      </c>
      <c r="F59" s="155">
        <f t="shared" si="11"/>
        <v>8.029612756264237</v>
      </c>
      <c r="G59" s="155">
        <f t="shared" si="12"/>
        <v>5.0113895216400905</v>
      </c>
      <c r="H59" s="155">
        <f t="shared" si="13"/>
        <v>8.162490508731967</v>
      </c>
      <c r="I59" s="155">
        <f t="shared" si="14"/>
        <v>6.947608200455581</v>
      </c>
      <c r="J59" s="155">
        <f t="shared" si="15"/>
        <v>8.959757023538344</v>
      </c>
      <c r="K59" s="155">
        <f t="shared" si="16"/>
        <v>1.7843583902809415</v>
      </c>
      <c r="L59" s="155">
        <f t="shared" si="17"/>
        <v>19.931662870159453</v>
      </c>
      <c r="M59" s="116">
        <f t="shared" si="18"/>
        <v>12.148823082763856</v>
      </c>
      <c r="N59" s="156">
        <f t="shared" si="19"/>
        <v>10.744115413819285</v>
      </c>
      <c r="O59" s="164">
        <f t="shared" si="20"/>
        <v>99.99999999999999</v>
      </c>
      <c r="AR59" s="57" t="s">
        <v>362</v>
      </c>
      <c r="BP59" s="58" t="s">
        <v>18</v>
      </c>
    </row>
    <row r="60" spans="1:68" ht="15">
      <c r="A60" s="3" t="s">
        <v>271</v>
      </c>
      <c r="B60" s="192">
        <f t="shared" si="7"/>
        <v>2.121871599564744</v>
      </c>
      <c r="C60" s="193">
        <f t="shared" si="8"/>
        <v>10.826985854189337</v>
      </c>
      <c r="D60" s="192">
        <f t="shared" si="9"/>
        <v>20.239390642002174</v>
      </c>
      <c r="E60" s="193">
        <f t="shared" si="10"/>
        <v>6.692056583242654</v>
      </c>
      <c r="F60" s="193">
        <f t="shared" si="11"/>
        <v>7.616974972796518</v>
      </c>
      <c r="G60" s="193">
        <f t="shared" si="12"/>
        <v>4.243743199129488</v>
      </c>
      <c r="H60" s="193">
        <f t="shared" si="13"/>
        <v>5.27747551686616</v>
      </c>
      <c r="I60" s="193">
        <f t="shared" si="14"/>
        <v>4.733405875952122</v>
      </c>
      <c r="J60" s="193">
        <f t="shared" si="15"/>
        <v>11.969532100108813</v>
      </c>
      <c r="K60" s="193">
        <f t="shared" si="16"/>
        <v>1.8498367791077257</v>
      </c>
      <c r="L60" s="193">
        <f t="shared" si="17"/>
        <v>24.428726877040262</v>
      </c>
      <c r="M60" s="192">
        <f t="shared" si="18"/>
        <v>12.948857453754082</v>
      </c>
      <c r="N60" s="208">
        <f t="shared" si="19"/>
        <v>13.81936887921654</v>
      </c>
      <c r="O60" s="196">
        <f t="shared" si="20"/>
        <v>99.99999999999999</v>
      </c>
      <c r="BP60" s="58" t="s">
        <v>31</v>
      </c>
    </row>
    <row r="61" spans="1:15" ht="15">
      <c r="A61" s="3" t="s">
        <v>272</v>
      </c>
      <c r="B61" s="192">
        <f t="shared" si="7"/>
        <v>1.7784256559766762</v>
      </c>
      <c r="C61" s="193">
        <f t="shared" si="8"/>
        <v>9.941690962099125</v>
      </c>
      <c r="D61" s="192">
        <f t="shared" si="9"/>
        <v>20.816326530612244</v>
      </c>
      <c r="E61" s="193">
        <f t="shared" si="10"/>
        <v>9.329446064139942</v>
      </c>
      <c r="F61" s="193">
        <f t="shared" si="11"/>
        <v>8.25072886297376</v>
      </c>
      <c r="G61" s="193">
        <f t="shared" si="12"/>
        <v>5.422740524781341</v>
      </c>
      <c r="H61" s="193">
        <f t="shared" si="13"/>
        <v>9.708454810495628</v>
      </c>
      <c r="I61" s="193">
        <f t="shared" si="14"/>
        <v>8.134110787172013</v>
      </c>
      <c r="J61" s="193">
        <f t="shared" si="15"/>
        <v>7.346938775510205</v>
      </c>
      <c r="K61" s="193">
        <f t="shared" si="16"/>
        <v>1.749271137026239</v>
      </c>
      <c r="L61" s="193">
        <f t="shared" si="17"/>
        <v>17.52186588921283</v>
      </c>
      <c r="M61" s="192">
        <f t="shared" si="18"/>
        <v>11.720116618075801</v>
      </c>
      <c r="N61" s="208">
        <f t="shared" si="19"/>
        <v>9.096209912536443</v>
      </c>
      <c r="O61" s="196">
        <f t="shared" si="20"/>
        <v>100</v>
      </c>
    </row>
    <row r="62" spans="1:15" ht="15">
      <c r="A62" s="127" t="s">
        <v>48</v>
      </c>
      <c r="B62" s="196">
        <f t="shared" si="7"/>
        <v>3.861884690357789</v>
      </c>
      <c r="C62" s="194">
        <f t="shared" si="8"/>
        <v>16.26202688396767</v>
      </c>
      <c r="D62" s="196">
        <f t="shared" si="9"/>
        <v>29.708307778849875</v>
      </c>
      <c r="E62" s="194">
        <f t="shared" si="10"/>
        <v>10.437167222029071</v>
      </c>
      <c r="F62" s="194">
        <f t="shared" si="11"/>
        <v>8.06675286828731</v>
      </c>
      <c r="G62" s="194">
        <f t="shared" si="12"/>
        <v>3.940403689221021</v>
      </c>
      <c r="H62" s="194">
        <f t="shared" si="13"/>
        <v>7.695252530382164</v>
      </c>
      <c r="I62" s="194">
        <f t="shared" si="14"/>
        <v>5.813140408376922</v>
      </c>
      <c r="J62" s="194">
        <f t="shared" si="15"/>
        <v>4.307997609272273</v>
      </c>
      <c r="K62" s="194">
        <f t="shared" si="16"/>
        <v>1.4098262034696802</v>
      </c>
      <c r="L62" s="194">
        <f t="shared" si="17"/>
        <v>8.497240115786225</v>
      </c>
      <c r="M62" s="196">
        <f t="shared" si="18"/>
        <v>20.123911574325458</v>
      </c>
      <c r="N62" s="209">
        <f t="shared" si="19"/>
        <v>5.717823812741954</v>
      </c>
      <c r="O62" s="196">
        <f t="shared" si="20"/>
        <v>100</v>
      </c>
    </row>
    <row r="63" spans="1:15" ht="15">
      <c r="A63" s="57" t="s">
        <v>342</v>
      </c>
      <c r="O63" s="58" t="s">
        <v>18</v>
      </c>
    </row>
    <row r="64" ht="15">
      <c r="O64" s="58" t="s">
        <v>31</v>
      </c>
    </row>
  </sheetData>
  <sheetProtection/>
  <mergeCells count="82">
    <mergeCell ref="H3:H6"/>
    <mergeCell ref="I3:I6"/>
    <mergeCell ref="L3:L6"/>
    <mergeCell ref="M3:M6"/>
    <mergeCell ref="A2:A3"/>
    <mergeCell ref="B2:N2"/>
    <mergeCell ref="B3:B6"/>
    <mergeCell ref="C3:C6"/>
    <mergeCell ref="D3:D6"/>
    <mergeCell ref="E3:E6"/>
    <mergeCell ref="F3:F6"/>
    <mergeCell ref="G3:G6"/>
    <mergeCell ref="N3:N6"/>
    <mergeCell ref="O3:O6"/>
    <mergeCell ref="F35:F38"/>
    <mergeCell ref="G35:G38"/>
    <mergeCell ref="H35:H38"/>
    <mergeCell ref="I35:I38"/>
    <mergeCell ref="N35:N38"/>
    <mergeCell ref="O35:O38"/>
    <mergeCell ref="J3:J6"/>
    <mergeCell ref="K3:K6"/>
    <mergeCell ref="J35:J38"/>
    <mergeCell ref="K35:K38"/>
    <mergeCell ref="L35:L38"/>
    <mergeCell ref="M35:M38"/>
    <mergeCell ref="B34:N34"/>
    <mergeCell ref="B35:B38"/>
    <mergeCell ref="C35:C38"/>
    <mergeCell ref="D35:D38"/>
    <mergeCell ref="E35:E38"/>
    <mergeCell ref="AR2:AR3"/>
    <mergeCell ref="AS3:AS6"/>
    <mergeCell ref="AY3:AY6"/>
    <mergeCell ref="AZ3:AZ6"/>
    <mergeCell ref="AT3:AT6"/>
    <mergeCell ref="AU3:AU6"/>
    <mergeCell ref="AV3:AV6"/>
    <mergeCell ref="AW3:AW6"/>
    <mergeCell ref="AX3:AX6"/>
    <mergeCell ref="AS2:BO2"/>
    <mergeCell ref="BF3:BF6"/>
    <mergeCell ref="BG3:BG6"/>
    <mergeCell ref="BH3:BH6"/>
    <mergeCell ref="BI3:BI6"/>
    <mergeCell ref="BJ3:BJ6"/>
    <mergeCell ref="BK3:BK6"/>
    <mergeCell ref="BA3:BA6"/>
    <mergeCell ref="BB3:BB6"/>
    <mergeCell ref="BC3:BC6"/>
    <mergeCell ref="BL3:BL6"/>
    <mergeCell ref="BM3:BM6"/>
    <mergeCell ref="BN3:BN6"/>
    <mergeCell ref="AS32:BO32"/>
    <mergeCell ref="BE3:BE6"/>
    <mergeCell ref="BP3:BP6"/>
    <mergeCell ref="BO3:BO6"/>
    <mergeCell ref="BD3:BD6"/>
    <mergeCell ref="AW33:AW36"/>
    <mergeCell ref="AX33:AX36"/>
    <mergeCell ref="AY33:AY36"/>
    <mergeCell ref="AZ33:AZ36"/>
    <mergeCell ref="AS33:AS36"/>
    <mergeCell ref="AT33:AT36"/>
    <mergeCell ref="AU33:AU36"/>
    <mergeCell ref="AV33:AV36"/>
    <mergeCell ref="BE33:BE36"/>
    <mergeCell ref="BF33:BF36"/>
    <mergeCell ref="BG33:BG36"/>
    <mergeCell ref="BH33:BH36"/>
    <mergeCell ref="BA33:BA36"/>
    <mergeCell ref="BB33:BB36"/>
    <mergeCell ref="BC33:BC36"/>
    <mergeCell ref="BD33:BD36"/>
    <mergeCell ref="BM33:BM36"/>
    <mergeCell ref="BN33:BN36"/>
    <mergeCell ref="BO33:BO36"/>
    <mergeCell ref="BP33:BP36"/>
    <mergeCell ref="BI33:BI36"/>
    <mergeCell ref="BJ33:BJ36"/>
    <mergeCell ref="BK33:BK36"/>
    <mergeCell ref="BL33:BL36"/>
  </mergeCells>
  <printOptions/>
  <pageMargins left="0.25" right="0.25" top="0.25" bottom="0.41" header="0.25" footer="0.25"/>
  <pageSetup horizontalDpi="300" verticalDpi="300" orientation="landscape" paperSize="9" scale="58" r:id="rId2"/>
  <headerFooter alignWithMargins="0">
    <oddFooter>&amp;L2011 Census Detailed Characteristics - Cultural Characteristics - &amp;A 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08"/>
  <sheetViews>
    <sheetView zoomScalePageLayoutView="0" workbookViewId="0" topLeftCell="AK1">
      <selection activeCell="AL1" sqref="AL1"/>
    </sheetView>
  </sheetViews>
  <sheetFormatPr defaultColWidth="9.140625" defaultRowHeight="12.75"/>
  <cols>
    <col min="1" max="1" width="72.57421875" style="59" customWidth="1"/>
    <col min="2" max="2" width="10.421875" style="59" bestFit="1" customWidth="1"/>
    <col min="3" max="3" width="10.140625" style="59" customWidth="1"/>
    <col min="4" max="4" width="12.28125" style="59" customWidth="1"/>
    <col min="5" max="5" width="9.7109375" style="59" customWidth="1"/>
    <col min="6" max="6" width="6.8515625" style="59" customWidth="1"/>
    <col min="7" max="7" width="8.57421875" style="59" customWidth="1"/>
    <col min="8" max="8" width="8.7109375" style="59" customWidth="1"/>
    <col min="9" max="9" width="11.421875" style="59" customWidth="1"/>
    <col min="10" max="10" width="10.57421875" style="59" customWidth="1"/>
    <col min="11" max="11" width="10.7109375" style="59" customWidth="1"/>
    <col min="12" max="12" width="7.140625" style="59" customWidth="1"/>
    <col min="13" max="13" width="10.421875" style="59" customWidth="1"/>
    <col min="14" max="14" width="6.7109375" style="59" customWidth="1"/>
    <col min="15" max="15" width="7.28125" style="59" customWidth="1"/>
    <col min="16" max="16" width="9.57421875" style="59" customWidth="1"/>
    <col min="17" max="17" width="10.00390625" style="59" customWidth="1"/>
    <col min="18" max="18" width="9.7109375" style="59" customWidth="1"/>
    <col min="19" max="19" width="10.57421875" style="59" customWidth="1"/>
    <col min="20" max="20" width="9.57421875" style="59" customWidth="1"/>
    <col min="21" max="21" width="9.28125" style="59" bestFit="1" customWidth="1"/>
    <col min="22" max="22" width="7.00390625" style="59" customWidth="1"/>
    <col min="23" max="23" width="12.421875" style="59" customWidth="1"/>
    <col min="24" max="24" width="11.00390625" style="59" customWidth="1"/>
    <col min="25" max="25" width="10.421875" style="59" customWidth="1"/>
    <col min="26" max="26" width="1.421875" style="59" customWidth="1"/>
    <col min="27" max="27" width="72.8515625" style="59" customWidth="1"/>
    <col min="28" max="28" width="25.28125" style="59" customWidth="1"/>
    <col min="29" max="29" width="27.7109375" style="59" customWidth="1"/>
    <col min="30" max="30" width="25.140625" style="59" customWidth="1"/>
    <col min="31" max="31" width="24.421875" style="59" customWidth="1"/>
    <col min="32" max="32" width="22.421875" style="59" customWidth="1"/>
    <col min="33" max="33" width="23.57421875" style="59" customWidth="1"/>
    <col min="34" max="34" width="25.140625" style="59" customWidth="1"/>
    <col min="35" max="35" width="25.28125" style="59" customWidth="1"/>
    <col min="36" max="36" width="30.140625" style="59" customWidth="1"/>
    <col min="37" max="37" width="1.7109375" style="59" customWidth="1"/>
    <col min="38" max="38" width="72.8515625" style="59" customWidth="1"/>
    <col min="39" max="39" width="23.421875" style="59" customWidth="1"/>
    <col min="40" max="40" width="23.7109375" style="59" customWidth="1"/>
    <col min="41" max="41" width="26.140625" style="59" customWidth="1"/>
    <col min="42" max="42" width="24.57421875" style="59" customWidth="1"/>
    <col min="43" max="43" width="24.421875" style="59" customWidth="1"/>
    <col min="44" max="44" width="26.140625" style="59" customWidth="1"/>
    <col min="45" max="45" width="26.8515625" style="59" customWidth="1"/>
    <col min="46" max="46" width="30.140625" style="59" customWidth="1"/>
    <col min="47" max="47" width="23.00390625" style="59" customWidth="1"/>
    <col min="48" max="16384" width="9.140625" style="59" customWidth="1"/>
  </cols>
  <sheetData>
    <row r="1" spans="1:47" ht="15.75">
      <c r="A1" s="56" t="s">
        <v>154</v>
      </c>
      <c r="AA1" s="1" t="s">
        <v>157</v>
      </c>
      <c r="AB1"/>
      <c r="AC1"/>
      <c r="AD1"/>
      <c r="AE1"/>
      <c r="AF1"/>
      <c r="AG1"/>
      <c r="AH1"/>
      <c r="AI1"/>
      <c r="AJ1"/>
      <c r="AL1" s="1" t="s">
        <v>161</v>
      </c>
      <c r="AM1"/>
      <c r="AN1"/>
      <c r="AO1"/>
      <c r="AP1"/>
      <c r="AQ1"/>
      <c r="AR1"/>
      <c r="AS1"/>
      <c r="AT1"/>
      <c r="AU1"/>
    </row>
    <row r="2" spans="1:47" ht="15">
      <c r="A2" s="290" t="s">
        <v>153</v>
      </c>
      <c r="B2" s="232" t="s">
        <v>155</v>
      </c>
      <c r="C2" s="250"/>
      <c r="D2" s="250"/>
      <c r="E2" s="250"/>
      <c r="F2" s="250"/>
      <c r="G2" s="250"/>
      <c r="H2" s="250"/>
      <c r="I2" s="250"/>
      <c r="J2" s="250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60"/>
      <c r="AA2" s="254" t="s">
        <v>158</v>
      </c>
      <c r="AB2" s="256" t="s">
        <v>28</v>
      </c>
      <c r="AC2" s="256"/>
      <c r="AD2" s="256"/>
      <c r="AE2" s="256"/>
      <c r="AF2" s="256"/>
      <c r="AG2" s="256"/>
      <c r="AH2" s="256"/>
      <c r="AI2" s="256"/>
      <c r="AJ2" s="256"/>
      <c r="AL2" s="296" t="s">
        <v>158</v>
      </c>
      <c r="AM2" s="53"/>
      <c r="AN2" s="263" t="s">
        <v>28</v>
      </c>
      <c r="AO2" s="264"/>
      <c r="AP2" s="264"/>
      <c r="AQ2" s="264"/>
      <c r="AR2" s="264"/>
      <c r="AS2" s="264"/>
      <c r="AT2" s="54"/>
      <c r="AU2" s="90"/>
    </row>
    <row r="3" spans="1:47" ht="15">
      <c r="A3" s="291"/>
      <c r="B3" s="298" t="s">
        <v>132</v>
      </c>
      <c r="C3" s="298" t="s">
        <v>136</v>
      </c>
      <c r="D3" s="298" t="s">
        <v>137</v>
      </c>
      <c r="E3" s="298" t="s">
        <v>138</v>
      </c>
      <c r="F3" s="298" t="s">
        <v>139</v>
      </c>
      <c r="G3" s="298" t="s">
        <v>140</v>
      </c>
      <c r="H3" s="298" t="s">
        <v>141</v>
      </c>
      <c r="I3" s="298" t="s">
        <v>142</v>
      </c>
      <c r="J3" s="298" t="s">
        <v>143</v>
      </c>
      <c r="K3" s="298" t="s">
        <v>144</v>
      </c>
      <c r="L3" s="298" t="s">
        <v>145</v>
      </c>
      <c r="M3" s="298" t="s">
        <v>146</v>
      </c>
      <c r="N3" s="298" t="s">
        <v>147</v>
      </c>
      <c r="O3" s="298" t="s">
        <v>148</v>
      </c>
      <c r="P3" s="298" t="s">
        <v>149</v>
      </c>
      <c r="Q3" s="298" t="s">
        <v>91</v>
      </c>
      <c r="R3" s="298" t="s">
        <v>93</v>
      </c>
      <c r="S3" s="298" t="s">
        <v>150</v>
      </c>
      <c r="T3" s="298" t="s">
        <v>151</v>
      </c>
      <c r="U3" s="298" t="s">
        <v>152</v>
      </c>
      <c r="V3" s="298" t="s">
        <v>133</v>
      </c>
      <c r="W3" s="298" t="s">
        <v>134</v>
      </c>
      <c r="X3" s="300" t="s">
        <v>135</v>
      </c>
      <c r="Y3" s="275" t="s">
        <v>48</v>
      </c>
      <c r="AA3" s="255"/>
      <c r="AB3" s="2" t="s">
        <v>97</v>
      </c>
      <c r="AC3" s="2" t="s">
        <v>22</v>
      </c>
      <c r="AD3" s="2" t="s">
        <v>23</v>
      </c>
      <c r="AE3" s="2" t="s">
        <v>24</v>
      </c>
      <c r="AF3" s="2" t="s">
        <v>25</v>
      </c>
      <c r="AG3" s="2" t="s">
        <v>26</v>
      </c>
      <c r="AH3" s="2" t="s">
        <v>27</v>
      </c>
      <c r="AI3" s="2" t="s">
        <v>29</v>
      </c>
      <c r="AJ3" s="2" t="s">
        <v>48</v>
      </c>
      <c r="AL3" s="297"/>
      <c r="AM3" s="91" t="s">
        <v>33</v>
      </c>
      <c r="AN3" s="92" t="s">
        <v>97</v>
      </c>
      <c r="AO3" s="91" t="s">
        <v>22</v>
      </c>
      <c r="AP3" s="91" t="s">
        <v>23</v>
      </c>
      <c r="AQ3" s="91" t="s">
        <v>24</v>
      </c>
      <c r="AR3" s="91" t="s">
        <v>25</v>
      </c>
      <c r="AS3" s="93" t="s">
        <v>59</v>
      </c>
      <c r="AT3" s="93" t="s">
        <v>160</v>
      </c>
      <c r="AU3" s="91" t="s">
        <v>48</v>
      </c>
    </row>
    <row r="4" spans="1:47" ht="15">
      <c r="A4" s="84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301"/>
      <c r="Y4" s="302"/>
      <c r="AA4" s="67" t="s">
        <v>98</v>
      </c>
      <c r="AB4" s="71">
        <v>47754</v>
      </c>
      <c r="AC4" s="71">
        <v>27618</v>
      </c>
      <c r="AD4" s="71">
        <v>66442</v>
      </c>
      <c r="AE4" s="71">
        <v>51241</v>
      </c>
      <c r="AF4" s="71">
        <v>25593</v>
      </c>
      <c r="AG4" s="71">
        <v>9888</v>
      </c>
      <c r="AH4" s="71">
        <v>6326</v>
      </c>
      <c r="AI4" s="71">
        <v>3104</v>
      </c>
      <c r="AJ4" s="72">
        <f>AI4+AH4+AG4+AF4+AE4+AD4+AC4+AB4</f>
        <v>237966</v>
      </c>
      <c r="AL4" s="67" t="s">
        <v>98</v>
      </c>
      <c r="AM4" s="71">
        <v>198422</v>
      </c>
      <c r="AN4" s="71">
        <v>7573</v>
      </c>
      <c r="AO4" s="71">
        <v>15433</v>
      </c>
      <c r="AP4" s="71">
        <v>12850</v>
      </c>
      <c r="AQ4" s="71">
        <v>3004</v>
      </c>
      <c r="AR4" s="71">
        <v>521</v>
      </c>
      <c r="AS4" s="71">
        <v>163</v>
      </c>
      <c r="AT4" s="71">
        <v>39544</v>
      </c>
      <c r="AU4" s="72">
        <f>AM4+AN4+AO4+AP4+AQ4+AR4+AS4</f>
        <v>237966</v>
      </c>
    </row>
    <row r="5" spans="1:47" ht="15">
      <c r="A5" s="84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301"/>
      <c r="Y5" s="302"/>
      <c r="AA5" s="68" t="s">
        <v>124</v>
      </c>
      <c r="AB5" s="69">
        <v>44689</v>
      </c>
      <c r="AC5" s="69">
        <v>23728</v>
      </c>
      <c r="AD5" s="69">
        <v>51012</v>
      </c>
      <c r="AE5" s="69">
        <v>41335</v>
      </c>
      <c r="AF5" s="69">
        <v>22111</v>
      </c>
      <c r="AG5" s="69">
        <v>7952</v>
      </c>
      <c r="AH5" s="69">
        <v>4986</v>
      </c>
      <c r="AI5" s="69">
        <v>2609</v>
      </c>
      <c r="AJ5" s="70">
        <f aca="true" t="shared" si="0" ref="AJ5:AJ32">AI5+AH5+AG5+AF5+AE5+AD5+AC5+AB5</f>
        <v>198422</v>
      </c>
      <c r="AL5" s="68" t="s">
        <v>99</v>
      </c>
      <c r="AM5" s="69">
        <v>198422</v>
      </c>
      <c r="AN5" s="69">
        <v>0</v>
      </c>
      <c r="AO5" s="69">
        <v>0</v>
      </c>
      <c r="AP5" s="69">
        <v>0</v>
      </c>
      <c r="AQ5" s="69">
        <v>0</v>
      </c>
      <c r="AR5" s="69">
        <v>0</v>
      </c>
      <c r="AS5" s="69">
        <v>0</v>
      </c>
      <c r="AT5" s="69">
        <v>0</v>
      </c>
      <c r="AU5" s="70">
        <f aca="true" t="shared" si="1" ref="AU5:AU27">AM5+AN5+AO5+AP5+AQ5+AR5+AS5</f>
        <v>198422</v>
      </c>
    </row>
    <row r="6" spans="1:47" ht="15">
      <c r="A6" s="85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301"/>
      <c r="Y6" s="303"/>
      <c r="AA6" s="3" t="s">
        <v>125</v>
      </c>
      <c r="AB6" s="4">
        <v>44504</v>
      </c>
      <c r="AC6" s="4">
        <v>22918</v>
      </c>
      <c r="AD6" s="4">
        <v>47216</v>
      </c>
      <c r="AE6" s="4">
        <v>38091</v>
      </c>
      <c r="AF6" s="4">
        <v>20292</v>
      </c>
      <c r="AG6" s="4">
        <v>7280</v>
      </c>
      <c r="AH6" s="4">
        <v>4660</v>
      </c>
      <c r="AI6" s="4">
        <v>2422</v>
      </c>
      <c r="AJ6" s="6">
        <f t="shared" si="0"/>
        <v>187383</v>
      </c>
      <c r="AL6" s="68" t="s">
        <v>100</v>
      </c>
      <c r="AM6" s="69">
        <v>0</v>
      </c>
      <c r="AN6" s="69">
        <v>961</v>
      </c>
      <c r="AO6" s="69">
        <v>2846</v>
      </c>
      <c r="AP6" s="69">
        <v>1619</v>
      </c>
      <c r="AQ6" s="69">
        <v>244</v>
      </c>
      <c r="AR6" s="69">
        <v>77</v>
      </c>
      <c r="AS6" s="69">
        <v>34</v>
      </c>
      <c r="AT6" s="69">
        <v>5781</v>
      </c>
      <c r="AU6" s="70">
        <f t="shared" si="1"/>
        <v>5781</v>
      </c>
    </row>
    <row r="7" spans="1:47" ht="15">
      <c r="A7" s="67" t="s">
        <v>98</v>
      </c>
      <c r="B7" s="71">
        <v>193390</v>
      </c>
      <c r="C7" s="71">
        <v>4243</v>
      </c>
      <c r="D7" s="71">
        <v>1513</v>
      </c>
      <c r="E7" s="71">
        <v>3091</v>
      </c>
      <c r="F7" s="71">
        <v>3214</v>
      </c>
      <c r="G7" s="71">
        <v>3315</v>
      </c>
      <c r="H7" s="71">
        <v>3997</v>
      </c>
      <c r="I7" s="71">
        <v>732</v>
      </c>
      <c r="J7" s="71">
        <v>1125</v>
      </c>
      <c r="K7" s="71">
        <v>2626</v>
      </c>
      <c r="L7" s="71">
        <v>6561</v>
      </c>
      <c r="M7" s="71">
        <v>7520</v>
      </c>
      <c r="N7" s="71">
        <v>4259</v>
      </c>
      <c r="O7" s="71">
        <v>877</v>
      </c>
      <c r="P7" s="71">
        <v>1503</v>
      </c>
      <c r="Q7" s="71">
        <v>154460</v>
      </c>
      <c r="R7" s="71">
        <v>7214</v>
      </c>
      <c r="S7" s="71">
        <v>152</v>
      </c>
      <c r="T7" s="71">
        <v>31564</v>
      </c>
      <c r="U7" s="71">
        <v>12061</v>
      </c>
      <c r="V7" s="71">
        <v>11795</v>
      </c>
      <c r="W7" s="71">
        <v>18340</v>
      </c>
      <c r="X7" s="71">
        <v>2380</v>
      </c>
      <c r="Y7" s="86">
        <f>B7+C7+D7+E7+F7+G7+H7+I7+J7+K7+L7+M7+N7+O7+P7</f>
        <v>237966</v>
      </c>
      <c r="AA7" s="3" t="s">
        <v>126</v>
      </c>
      <c r="AB7" s="4">
        <v>18</v>
      </c>
      <c r="AC7" s="4">
        <v>112</v>
      </c>
      <c r="AD7" s="4">
        <v>704</v>
      </c>
      <c r="AE7" s="4">
        <v>537</v>
      </c>
      <c r="AF7" s="4">
        <v>308</v>
      </c>
      <c r="AG7" s="4">
        <v>139</v>
      </c>
      <c r="AH7" s="4">
        <v>76</v>
      </c>
      <c r="AI7" s="4">
        <v>40</v>
      </c>
      <c r="AJ7" s="6">
        <f t="shared" si="0"/>
        <v>1934</v>
      </c>
      <c r="AL7" s="68" t="s">
        <v>101</v>
      </c>
      <c r="AM7" s="69">
        <v>0</v>
      </c>
      <c r="AN7" s="69">
        <v>6612</v>
      </c>
      <c r="AO7" s="69">
        <v>12587</v>
      </c>
      <c r="AP7" s="69">
        <v>11231</v>
      </c>
      <c r="AQ7" s="69">
        <v>2760</v>
      </c>
      <c r="AR7" s="69">
        <v>444</v>
      </c>
      <c r="AS7" s="69">
        <v>129</v>
      </c>
      <c r="AT7" s="69">
        <v>33763</v>
      </c>
      <c r="AU7" s="70">
        <f t="shared" si="1"/>
        <v>33763</v>
      </c>
    </row>
    <row r="8" spans="1:47" ht="15">
      <c r="A8" s="68" t="s">
        <v>124</v>
      </c>
      <c r="B8" s="69">
        <v>157667</v>
      </c>
      <c r="C8" s="69">
        <v>4158</v>
      </c>
      <c r="D8" s="69">
        <v>1341</v>
      </c>
      <c r="E8" s="69">
        <v>2844</v>
      </c>
      <c r="F8" s="69">
        <v>2853</v>
      </c>
      <c r="G8" s="69">
        <v>3230</v>
      </c>
      <c r="H8" s="69">
        <v>3221</v>
      </c>
      <c r="I8" s="69">
        <v>715</v>
      </c>
      <c r="J8" s="69">
        <v>1036</v>
      </c>
      <c r="K8" s="69">
        <v>2380</v>
      </c>
      <c r="L8" s="69">
        <v>5878</v>
      </c>
      <c r="M8" s="69">
        <v>7361</v>
      </c>
      <c r="N8" s="69">
        <v>3999</v>
      </c>
      <c r="O8" s="69">
        <v>735</v>
      </c>
      <c r="P8" s="69">
        <v>1004</v>
      </c>
      <c r="Q8" s="69">
        <v>150251</v>
      </c>
      <c r="R8" s="69">
        <v>2166</v>
      </c>
      <c r="S8" s="69">
        <v>112</v>
      </c>
      <c r="T8" s="69">
        <v>5138</v>
      </c>
      <c r="U8" s="69">
        <v>11196</v>
      </c>
      <c r="V8" s="69">
        <v>10582</v>
      </c>
      <c r="W8" s="69">
        <v>17238</v>
      </c>
      <c r="X8" s="69">
        <v>1739</v>
      </c>
      <c r="Y8" s="70">
        <f aca="true" t="shared" si="2" ref="Y8:Y36">B8+C8+D8+E8+F8+G8+H8+I8+J8+K8+L8+M8+N8+O8+P8</f>
        <v>198422</v>
      </c>
      <c r="AA8" s="3" t="s">
        <v>127</v>
      </c>
      <c r="AB8" s="4">
        <v>96</v>
      </c>
      <c r="AC8" s="4">
        <v>391</v>
      </c>
      <c r="AD8" s="4">
        <v>1803</v>
      </c>
      <c r="AE8" s="4">
        <v>1714</v>
      </c>
      <c r="AF8" s="4">
        <v>1043</v>
      </c>
      <c r="AG8" s="4">
        <v>332</v>
      </c>
      <c r="AH8" s="4">
        <v>146</v>
      </c>
      <c r="AI8" s="4">
        <v>71</v>
      </c>
      <c r="AJ8" s="6">
        <f t="shared" si="0"/>
        <v>5596</v>
      </c>
      <c r="AL8" s="73" t="s">
        <v>102</v>
      </c>
      <c r="AM8" s="74">
        <v>0</v>
      </c>
      <c r="AN8" s="74">
        <v>5797</v>
      </c>
      <c r="AO8" s="74">
        <v>10990</v>
      </c>
      <c r="AP8" s="74">
        <v>9821</v>
      </c>
      <c r="AQ8" s="74">
        <v>2354</v>
      </c>
      <c r="AR8" s="74">
        <v>369</v>
      </c>
      <c r="AS8" s="74">
        <v>114</v>
      </c>
      <c r="AT8" s="74">
        <v>29445</v>
      </c>
      <c r="AU8" s="75">
        <f t="shared" si="1"/>
        <v>29445</v>
      </c>
    </row>
    <row r="9" spans="1:47" ht="15">
      <c r="A9" s="3" t="s">
        <v>125</v>
      </c>
      <c r="B9" s="4">
        <v>147176</v>
      </c>
      <c r="C9" s="4">
        <v>4115</v>
      </c>
      <c r="D9" s="4">
        <v>1311</v>
      </c>
      <c r="E9" s="4">
        <v>2784</v>
      </c>
      <c r="F9" s="4">
        <v>2785</v>
      </c>
      <c r="G9" s="4">
        <v>3180</v>
      </c>
      <c r="H9" s="4">
        <v>3155</v>
      </c>
      <c r="I9" s="4">
        <v>707</v>
      </c>
      <c r="J9" s="4">
        <v>976</v>
      </c>
      <c r="K9" s="4">
        <v>2358</v>
      </c>
      <c r="L9" s="4">
        <v>5832</v>
      </c>
      <c r="M9" s="4">
        <v>7330</v>
      </c>
      <c r="N9" s="4">
        <v>3966</v>
      </c>
      <c r="O9" s="4">
        <v>718</v>
      </c>
      <c r="P9" s="4">
        <v>990</v>
      </c>
      <c r="Q9" s="4">
        <v>140277</v>
      </c>
      <c r="R9" s="4">
        <v>1735</v>
      </c>
      <c r="S9" s="4">
        <v>104</v>
      </c>
      <c r="T9" s="4">
        <v>5060</v>
      </c>
      <c r="U9" s="4">
        <v>10995</v>
      </c>
      <c r="V9" s="4">
        <v>10376</v>
      </c>
      <c r="W9" s="4">
        <v>17128</v>
      </c>
      <c r="X9" s="4">
        <v>1708</v>
      </c>
      <c r="Y9" s="6">
        <f t="shared" si="2"/>
        <v>187383</v>
      </c>
      <c r="AA9" s="3" t="s">
        <v>128</v>
      </c>
      <c r="AB9" s="4">
        <v>46</v>
      </c>
      <c r="AC9" s="4">
        <v>305</v>
      </c>
      <c r="AD9" s="4">
        <v>1276</v>
      </c>
      <c r="AE9" s="4">
        <v>972</v>
      </c>
      <c r="AF9" s="4">
        <v>457</v>
      </c>
      <c r="AG9" s="4">
        <v>199</v>
      </c>
      <c r="AH9" s="4">
        <v>102</v>
      </c>
      <c r="AI9" s="4">
        <v>76</v>
      </c>
      <c r="AJ9" s="6">
        <f t="shared" si="0"/>
        <v>3433</v>
      </c>
      <c r="AL9" s="3" t="s">
        <v>103</v>
      </c>
      <c r="AM9" s="4">
        <v>0</v>
      </c>
      <c r="AN9" s="4">
        <v>4586</v>
      </c>
      <c r="AO9" s="4">
        <v>5753</v>
      </c>
      <c r="AP9" s="4">
        <v>5622</v>
      </c>
      <c r="AQ9" s="4">
        <v>1405</v>
      </c>
      <c r="AR9" s="4">
        <v>183</v>
      </c>
      <c r="AS9" s="4">
        <v>74</v>
      </c>
      <c r="AT9" s="4">
        <v>17623</v>
      </c>
      <c r="AU9" s="6">
        <f t="shared" si="1"/>
        <v>17623</v>
      </c>
    </row>
    <row r="10" spans="1:47" ht="15">
      <c r="A10" s="3" t="s">
        <v>126</v>
      </c>
      <c r="B10" s="4">
        <v>1866</v>
      </c>
      <c r="C10" s="4">
        <v>10</v>
      </c>
      <c r="D10" s="4">
        <v>2</v>
      </c>
      <c r="E10" s="4">
        <v>5</v>
      </c>
      <c r="F10" s="4">
        <v>7</v>
      </c>
      <c r="G10" s="4">
        <v>9</v>
      </c>
      <c r="H10" s="4">
        <v>1</v>
      </c>
      <c r="I10" s="4">
        <v>0</v>
      </c>
      <c r="J10" s="4">
        <v>9</v>
      </c>
      <c r="K10" s="4">
        <v>5</v>
      </c>
      <c r="L10" s="4">
        <v>10</v>
      </c>
      <c r="M10" s="4">
        <v>5</v>
      </c>
      <c r="N10" s="4">
        <v>1</v>
      </c>
      <c r="O10" s="4">
        <v>2</v>
      </c>
      <c r="P10" s="4">
        <v>2</v>
      </c>
      <c r="Q10" s="4">
        <v>1476</v>
      </c>
      <c r="R10" s="4">
        <v>376</v>
      </c>
      <c r="S10" s="4">
        <v>3</v>
      </c>
      <c r="T10" s="4">
        <v>11</v>
      </c>
      <c r="U10" s="4">
        <v>24</v>
      </c>
      <c r="V10" s="4">
        <v>24</v>
      </c>
      <c r="W10" s="4">
        <v>16</v>
      </c>
      <c r="X10" s="4">
        <v>4</v>
      </c>
      <c r="Y10" s="6">
        <f t="shared" si="2"/>
        <v>1934</v>
      </c>
      <c r="AA10" s="3" t="s">
        <v>129</v>
      </c>
      <c r="AB10" s="4">
        <v>1</v>
      </c>
      <c r="AC10" s="4">
        <v>0</v>
      </c>
      <c r="AD10" s="4">
        <v>1</v>
      </c>
      <c r="AE10" s="4">
        <v>3</v>
      </c>
      <c r="AF10" s="4">
        <v>6</v>
      </c>
      <c r="AG10" s="4">
        <v>2</v>
      </c>
      <c r="AH10" s="4">
        <v>1</v>
      </c>
      <c r="AI10" s="4">
        <v>0</v>
      </c>
      <c r="AJ10" s="6">
        <f t="shared" si="0"/>
        <v>14</v>
      </c>
      <c r="AL10" s="3" t="s">
        <v>104</v>
      </c>
      <c r="AM10" s="4">
        <v>0</v>
      </c>
      <c r="AN10" s="4">
        <v>1211</v>
      </c>
      <c r="AO10" s="4">
        <v>5237</v>
      </c>
      <c r="AP10" s="4">
        <v>4199</v>
      </c>
      <c r="AQ10" s="4">
        <v>949</v>
      </c>
      <c r="AR10" s="4">
        <v>186</v>
      </c>
      <c r="AS10" s="4">
        <v>40</v>
      </c>
      <c r="AT10" s="4">
        <v>11822</v>
      </c>
      <c r="AU10" s="6">
        <f t="shared" si="1"/>
        <v>11822</v>
      </c>
    </row>
    <row r="11" spans="1:47" ht="15">
      <c r="A11" s="3" t="s">
        <v>127</v>
      </c>
      <c r="B11" s="4">
        <v>5340</v>
      </c>
      <c r="C11" s="4">
        <v>11</v>
      </c>
      <c r="D11" s="4">
        <v>9</v>
      </c>
      <c r="E11" s="4">
        <v>36</v>
      </c>
      <c r="F11" s="4">
        <v>33</v>
      </c>
      <c r="G11" s="4">
        <v>23</v>
      </c>
      <c r="H11" s="4">
        <v>47</v>
      </c>
      <c r="I11" s="4">
        <v>1</v>
      </c>
      <c r="J11" s="4">
        <v>28</v>
      </c>
      <c r="K11" s="4">
        <v>9</v>
      </c>
      <c r="L11" s="4">
        <v>23</v>
      </c>
      <c r="M11" s="4">
        <v>7</v>
      </c>
      <c r="N11" s="4">
        <v>17</v>
      </c>
      <c r="O11" s="4">
        <v>5</v>
      </c>
      <c r="P11" s="4">
        <v>7</v>
      </c>
      <c r="Q11" s="4">
        <v>5265</v>
      </c>
      <c r="R11" s="4">
        <v>34</v>
      </c>
      <c r="S11" s="4">
        <v>3</v>
      </c>
      <c r="T11" s="4">
        <v>38</v>
      </c>
      <c r="U11" s="4">
        <v>89</v>
      </c>
      <c r="V11" s="4">
        <v>108</v>
      </c>
      <c r="W11" s="4">
        <v>47</v>
      </c>
      <c r="X11" s="4">
        <v>12</v>
      </c>
      <c r="Y11" s="6">
        <f t="shared" si="2"/>
        <v>5596</v>
      </c>
      <c r="AA11" s="3" t="s">
        <v>130</v>
      </c>
      <c r="AB11" s="4">
        <v>24</v>
      </c>
      <c r="AC11" s="4">
        <v>2</v>
      </c>
      <c r="AD11" s="4">
        <v>12</v>
      </c>
      <c r="AE11" s="4">
        <v>18</v>
      </c>
      <c r="AF11" s="4">
        <v>5</v>
      </c>
      <c r="AG11" s="4">
        <v>0</v>
      </c>
      <c r="AH11" s="4">
        <v>1</v>
      </c>
      <c r="AI11" s="4">
        <v>0</v>
      </c>
      <c r="AJ11" s="6">
        <f t="shared" si="0"/>
        <v>62</v>
      </c>
      <c r="AL11" s="73" t="s">
        <v>105</v>
      </c>
      <c r="AM11" s="74">
        <v>0</v>
      </c>
      <c r="AN11" s="74">
        <v>815</v>
      </c>
      <c r="AO11" s="74">
        <v>1597</v>
      </c>
      <c r="AP11" s="74">
        <v>1410</v>
      </c>
      <c r="AQ11" s="74">
        <v>406</v>
      </c>
      <c r="AR11" s="74">
        <v>75</v>
      </c>
      <c r="AS11" s="74">
        <v>15</v>
      </c>
      <c r="AT11" s="74">
        <v>4318</v>
      </c>
      <c r="AU11" s="75">
        <f t="shared" si="1"/>
        <v>4318</v>
      </c>
    </row>
    <row r="12" spans="1:47" ht="15">
      <c r="A12" s="3" t="s">
        <v>128</v>
      </c>
      <c r="B12" s="4">
        <v>3249</v>
      </c>
      <c r="C12" s="4">
        <v>22</v>
      </c>
      <c r="D12" s="4">
        <v>16</v>
      </c>
      <c r="E12" s="4">
        <v>17</v>
      </c>
      <c r="F12" s="4">
        <v>28</v>
      </c>
      <c r="G12" s="4">
        <v>17</v>
      </c>
      <c r="H12" s="4">
        <v>7</v>
      </c>
      <c r="I12" s="4">
        <v>7</v>
      </c>
      <c r="J12" s="4">
        <v>23</v>
      </c>
      <c r="K12" s="4">
        <v>4</v>
      </c>
      <c r="L12" s="4">
        <v>3</v>
      </c>
      <c r="M12" s="4">
        <v>17</v>
      </c>
      <c r="N12" s="4">
        <v>10</v>
      </c>
      <c r="O12" s="4">
        <v>10</v>
      </c>
      <c r="P12" s="4">
        <v>3</v>
      </c>
      <c r="Q12" s="4">
        <v>3204</v>
      </c>
      <c r="R12" s="4">
        <v>19</v>
      </c>
      <c r="S12" s="4">
        <v>1</v>
      </c>
      <c r="T12" s="4">
        <v>25</v>
      </c>
      <c r="U12" s="4">
        <v>83</v>
      </c>
      <c r="V12" s="4">
        <v>58</v>
      </c>
      <c r="W12" s="4">
        <v>30</v>
      </c>
      <c r="X12" s="4">
        <v>13</v>
      </c>
      <c r="Y12" s="6">
        <f t="shared" si="2"/>
        <v>3433</v>
      </c>
      <c r="AA12" s="68" t="s">
        <v>100</v>
      </c>
      <c r="AB12" s="69">
        <v>79</v>
      </c>
      <c r="AC12" s="69">
        <v>308</v>
      </c>
      <c r="AD12" s="69">
        <v>1670</v>
      </c>
      <c r="AE12" s="69">
        <v>1060</v>
      </c>
      <c r="AF12" s="69">
        <v>964</v>
      </c>
      <c r="AG12" s="69">
        <v>914</v>
      </c>
      <c r="AH12" s="69">
        <v>630</v>
      </c>
      <c r="AI12" s="69">
        <v>156</v>
      </c>
      <c r="AJ12" s="70">
        <f t="shared" si="0"/>
        <v>5781</v>
      </c>
      <c r="AL12" s="67" t="s">
        <v>106</v>
      </c>
      <c r="AM12" s="71">
        <v>0</v>
      </c>
      <c r="AN12" s="71">
        <v>5049</v>
      </c>
      <c r="AO12" s="71">
        <v>7442</v>
      </c>
      <c r="AP12" s="71">
        <v>6642</v>
      </c>
      <c r="AQ12" s="71">
        <v>1879</v>
      </c>
      <c r="AR12" s="71">
        <v>512</v>
      </c>
      <c r="AS12" s="71">
        <v>140</v>
      </c>
      <c r="AT12" s="71">
        <v>21664</v>
      </c>
      <c r="AU12" s="72">
        <f t="shared" si="1"/>
        <v>21664</v>
      </c>
    </row>
    <row r="13" spans="1:47" ht="15">
      <c r="A13" s="3" t="s">
        <v>129</v>
      </c>
      <c r="B13" s="4">
        <v>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1</v>
      </c>
      <c r="M13" s="4">
        <v>0</v>
      </c>
      <c r="N13" s="4">
        <v>3</v>
      </c>
      <c r="O13" s="4">
        <v>0</v>
      </c>
      <c r="P13" s="4">
        <v>1</v>
      </c>
      <c r="Q13" s="4">
        <v>5</v>
      </c>
      <c r="R13" s="4">
        <v>2</v>
      </c>
      <c r="S13" s="4">
        <v>0</v>
      </c>
      <c r="T13" s="4">
        <v>1</v>
      </c>
      <c r="U13" s="4">
        <v>0</v>
      </c>
      <c r="V13" s="4">
        <v>1</v>
      </c>
      <c r="W13" s="4">
        <v>4</v>
      </c>
      <c r="X13" s="4">
        <v>1</v>
      </c>
      <c r="Y13" s="6">
        <f t="shared" si="2"/>
        <v>14</v>
      </c>
      <c r="AA13" s="68" t="s">
        <v>101</v>
      </c>
      <c r="AB13" s="69">
        <v>2986</v>
      </c>
      <c r="AC13" s="69">
        <v>3582</v>
      </c>
      <c r="AD13" s="69">
        <v>13760</v>
      </c>
      <c r="AE13" s="69">
        <v>8846</v>
      </c>
      <c r="AF13" s="69">
        <v>2518</v>
      </c>
      <c r="AG13" s="69">
        <v>1022</v>
      </c>
      <c r="AH13" s="69">
        <v>710</v>
      </c>
      <c r="AI13" s="69">
        <v>339</v>
      </c>
      <c r="AJ13" s="70">
        <f t="shared" si="0"/>
        <v>33763</v>
      </c>
      <c r="AL13" s="3" t="s">
        <v>107</v>
      </c>
      <c r="AM13" s="4">
        <v>0</v>
      </c>
      <c r="AN13" s="4">
        <v>339</v>
      </c>
      <c r="AO13" s="4">
        <v>505</v>
      </c>
      <c r="AP13" s="4">
        <v>604</v>
      </c>
      <c r="AQ13" s="4">
        <v>156</v>
      </c>
      <c r="AR13" s="4">
        <v>24</v>
      </c>
      <c r="AS13" s="4">
        <v>6</v>
      </c>
      <c r="AT13" s="4">
        <v>1634</v>
      </c>
      <c r="AU13" s="6">
        <f t="shared" si="1"/>
        <v>1634</v>
      </c>
    </row>
    <row r="14" spans="1:47" ht="15">
      <c r="A14" s="3" t="s">
        <v>130</v>
      </c>
      <c r="B14" s="4">
        <v>28</v>
      </c>
      <c r="C14" s="4">
        <v>0</v>
      </c>
      <c r="D14" s="4">
        <v>3</v>
      </c>
      <c r="E14" s="4">
        <v>2</v>
      </c>
      <c r="F14" s="4">
        <v>0</v>
      </c>
      <c r="G14" s="4">
        <v>1</v>
      </c>
      <c r="H14" s="4">
        <v>11</v>
      </c>
      <c r="I14" s="4">
        <v>0</v>
      </c>
      <c r="J14" s="4">
        <v>0</v>
      </c>
      <c r="K14" s="4">
        <v>3</v>
      </c>
      <c r="L14" s="4">
        <v>9</v>
      </c>
      <c r="M14" s="4">
        <v>2</v>
      </c>
      <c r="N14" s="4">
        <v>2</v>
      </c>
      <c r="O14" s="4">
        <v>0</v>
      </c>
      <c r="P14" s="4">
        <v>1</v>
      </c>
      <c r="Q14" s="4">
        <v>24</v>
      </c>
      <c r="R14" s="4">
        <v>0</v>
      </c>
      <c r="S14" s="4">
        <v>1</v>
      </c>
      <c r="T14" s="4">
        <v>3</v>
      </c>
      <c r="U14" s="4">
        <v>5</v>
      </c>
      <c r="V14" s="4">
        <v>15</v>
      </c>
      <c r="W14" s="4">
        <v>13</v>
      </c>
      <c r="X14" s="4">
        <v>1</v>
      </c>
      <c r="Y14" s="6">
        <f t="shared" si="2"/>
        <v>62</v>
      </c>
      <c r="AA14" s="73" t="s">
        <v>102</v>
      </c>
      <c r="AB14" s="74">
        <v>2752</v>
      </c>
      <c r="AC14" s="74">
        <v>3022</v>
      </c>
      <c r="AD14" s="74">
        <v>12109</v>
      </c>
      <c r="AE14" s="74">
        <v>7550</v>
      </c>
      <c r="AF14" s="74">
        <v>2143</v>
      </c>
      <c r="AG14" s="74">
        <v>922</v>
      </c>
      <c r="AH14" s="74">
        <v>640</v>
      </c>
      <c r="AI14" s="74">
        <v>307</v>
      </c>
      <c r="AJ14" s="75">
        <f t="shared" si="0"/>
        <v>29445</v>
      </c>
      <c r="AL14" s="3" t="s">
        <v>108</v>
      </c>
      <c r="AM14" s="4">
        <v>0</v>
      </c>
      <c r="AN14" s="4">
        <v>1178</v>
      </c>
      <c r="AO14" s="4">
        <v>1482</v>
      </c>
      <c r="AP14" s="4">
        <v>1469</v>
      </c>
      <c r="AQ14" s="4">
        <v>568</v>
      </c>
      <c r="AR14" s="4">
        <v>154</v>
      </c>
      <c r="AS14" s="4">
        <v>38</v>
      </c>
      <c r="AT14" s="4">
        <v>4889</v>
      </c>
      <c r="AU14" s="6">
        <f t="shared" si="1"/>
        <v>4889</v>
      </c>
    </row>
    <row r="15" spans="1:47" ht="15">
      <c r="A15" s="68" t="s">
        <v>100</v>
      </c>
      <c r="B15" s="69">
        <v>5523</v>
      </c>
      <c r="C15" s="69">
        <v>7</v>
      </c>
      <c r="D15" s="69">
        <v>9</v>
      </c>
      <c r="E15" s="69">
        <v>28</v>
      </c>
      <c r="F15" s="69">
        <v>20</v>
      </c>
      <c r="G15" s="69">
        <v>12</v>
      </c>
      <c r="H15" s="69">
        <v>14</v>
      </c>
      <c r="I15" s="69">
        <v>2</v>
      </c>
      <c r="J15" s="69">
        <v>7</v>
      </c>
      <c r="K15" s="69">
        <v>13</v>
      </c>
      <c r="L15" s="69">
        <v>43</v>
      </c>
      <c r="M15" s="69">
        <v>52</v>
      </c>
      <c r="N15" s="69">
        <v>16</v>
      </c>
      <c r="O15" s="69">
        <v>10</v>
      </c>
      <c r="P15" s="69">
        <v>25</v>
      </c>
      <c r="Q15" s="69">
        <v>449</v>
      </c>
      <c r="R15" s="69">
        <v>4896</v>
      </c>
      <c r="S15" s="69">
        <v>18</v>
      </c>
      <c r="T15" s="69">
        <v>160</v>
      </c>
      <c r="U15" s="69">
        <v>64</v>
      </c>
      <c r="V15" s="69">
        <v>48</v>
      </c>
      <c r="W15" s="69">
        <v>111</v>
      </c>
      <c r="X15" s="69">
        <v>35</v>
      </c>
      <c r="Y15" s="70">
        <f t="shared" si="2"/>
        <v>5781</v>
      </c>
      <c r="AA15" s="3" t="s">
        <v>103</v>
      </c>
      <c r="AB15" s="4">
        <v>2169</v>
      </c>
      <c r="AC15" s="4">
        <v>1764</v>
      </c>
      <c r="AD15" s="4">
        <v>6029</v>
      </c>
      <c r="AE15" s="4">
        <v>5104</v>
      </c>
      <c r="AF15" s="4">
        <v>1336</v>
      </c>
      <c r="AG15" s="4">
        <v>644</v>
      </c>
      <c r="AH15" s="4">
        <v>418</v>
      </c>
      <c r="AI15" s="4">
        <v>159</v>
      </c>
      <c r="AJ15" s="6">
        <f t="shared" si="0"/>
        <v>17623</v>
      </c>
      <c r="AL15" s="3" t="s">
        <v>109</v>
      </c>
      <c r="AM15" s="4">
        <v>0</v>
      </c>
      <c r="AN15" s="4">
        <v>3467</v>
      </c>
      <c r="AO15" s="4">
        <v>5411</v>
      </c>
      <c r="AP15" s="4">
        <v>4528</v>
      </c>
      <c r="AQ15" s="4">
        <v>1138</v>
      </c>
      <c r="AR15" s="4">
        <v>332</v>
      </c>
      <c r="AS15" s="4">
        <v>95</v>
      </c>
      <c r="AT15" s="4">
        <v>14971</v>
      </c>
      <c r="AU15" s="6">
        <f t="shared" si="1"/>
        <v>14971</v>
      </c>
    </row>
    <row r="16" spans="1:47" ht="15">
      <c r="A16" s="68" t="s">
        <v>101</v>
      </c>
      <c r="B16" s="69">
        <v>30200</v>
      </c>
      <c r="C16" s="69">
        <v>78</v>
      </c>
      <c r="D16" s="69">
        <v>163</v>
      </c>
      <c r="E16" s="69">
        <v>219</v>
      </c>
      <c r="F16" s="69">
        <v>341</v>
      </c>
      <c r="G16" s="69">
        <v>73</v>
      </c>
      <c r="H16" s="69">
        <v>762</v>
      </c>
      <c r="I16" s="69">
        <v>15</v>
      </c>
      <c r="J16" s="69">
        <v>82</v>
      </c>
      <c r="K16" s="69">
        <v>233</v>
      </c>
      <c r="L16" s="69">
        <v>640</v>
      </c>
      <c r="M16" s="69">
        <v>107</v>
      </c>
      <c r="N16" s="69">
        <v>244</v>
      </c>
      <c r="O16" s="69">
        <v>132</v>
      </c>
      <c r="P16" s="69">
        <v>474</v>
      </c>
      <c r="Q16" s="69">
        <v>3760</v>
      </c>
      <c r="R16" s="69">
        <v>152</v>
      </c>
      <c r="S16" s="69">
        <v>22</v>
      </c>
      <c r="T16" s="69">
        <v>26266</v>
      </c>
      <c r="U16" s="69">
        <v>801</v>
      </c>
      <c r="V16" s="69">
        <v>1165</v>
      </c>
      <c r="W16" s="69">
        <v>991</v>
      </c>
      <c r="X16" s="69">
        <v>606</v>
      </c>
      <c r="Y16" s="70">
        <f t="shared" si="2"/>
        <v>33763</v>
      </c>
      <c r="AA16" s="3" t="s">
        <v>104</v>
      </c>
      <c r="AB16" s="4">
        <v>583</v>
      </c>
      <c r="AC16" s="4">
        <v>1258</v>
      </c>
      <c r="AD16" s="4">
        <v>6080</v>
      </c>
      <c r="AE16" s="4">
        <v>2446</v>
      </c>
      <c r="AF16" s="4">
        <v>807</v>
      </c>
      <c r="AG16" s="4">
        <v>278</v>
      </c>
      <c r="AH16" s="4">
        <v>222</v>
      </c>
      <c r="AI16" s="4">
        <v>148</v>
      </c>
      <c r="AJ16" s="6">
        <f t="shared" si="0"/>
        <v>11822</v>
      </c>
      <c r="AL16" s="3" t="s">
        <v>131</v>
      </c>
      <c r="AM16" s="4">
        <v>0</v>
      </c>
      <c r="AN16" s="4">
        <v>65</v>
      </c>
      <c r="AO16" s="4">
        <v>44</v>
      </c>
      <c r="AP16" s="4">
        <v>41</v>
      </c>
      <c r="AQ16" s="4">
        <v>17</v>
      </c>
      <c r="AR16" s="4">
        <v>2</v>
      </c>
      <c r="AS16" s="4">
        <v>1</v>
      </c>
      <c r="AT16" s="4">
        <v>170</v>
      </c>
      <c r="AU16" s="6">
        <f t="shared" si="1"/>
        <v>170</v>
      </c>
    </row>
    <row r="17" spans="1:47" ht="15">
      <c r="A17" s="73" t="s">
        <v>102</v>
      </c>
      <c r="B17" s="74">
        <v>26282</v>
      </c>
      <c r="C17" s="74">
        <v>76</v>
      </c>
      <c r="D17" s="74">
        <v>148</v>
      </c>
      <c r="E17" s="74">
        <v>169</v>
      </c>
      <c r="F17" s="74">
        <v>281</v>
      </c>
      <c r="G17" s="74">
        <v>67</v>
      </c>
      <c r="H17" s="74">
        <v>749</v>
      </c>
      <c r="I17" s="74">
        <v>15</v>
      </c>
      <c r="J17" s="74">
        <v>75</v>
      </c>
      <c r="K17" s="74">
        <v>197</v>
      </c>
      <c r="L17" s="74">
        <v>600</v>
      </c>
      <c r="M17" s="74">
        <v>103</v>
      </c>
      <c r="N17" s="74">
        <v>223</v>
      </c>
      <c r="O17" s="74">
        <v>123</v>
      </c>
      <c r="P17" s="74">
        <v>337</v>
      </c>
      <c r="Q17" s="74">
        <v>2949</v>
      </c>
      <c r="R17" s="74">
        <v>142</v>
      </c>
      <c r="S17" s="74">
        <v>22</v>
      </c>
      <c r="T17" s="74">
        <v>23169</v>
      </c>
      <c r="U17" s="74">
        <v>674</v>
      </c>
      <c r="V17" s="74">
        <v>1103</v>
      </c>
      <c r="W17" s="74">
        <v>926</v>
      </c>
      <c r="X17" s="74">
        <v>460</v>
      </c>
      <c r="Y17" s="75">
        <f t="shared" si="2"/>
        <v>29445</v>
      </c>
      <c r="AA17" s="73" t="s">
        <v>105</v>
      </c>
      <c r="AB17" s="74">
        <v>234</v>
      </c>
      <c r="AC17" s="74">
        <v>560</v>
      </c>
      <c r="AD17" s="74">
        <v>1651</v>
      </c>
      <c r="AE17" s="74">
        <v>1296</v>
      </c>
      <c r="AF17" s="74">
        <v>375</v>
      </c>
      <c r="AG17" s="74">
        <v>100</v>
      </c>
      <c r="AH17" s="74">
        <v>70</v>
      </c>
      <c r="AI17" s="74">
        <v>32</v>
      </c>
      <c r="AJ17" s="75">
        <f t="shared" si="0"/>
        <v>4318</v>
      </c>
      <c r="AL17" s="67" t="s">
        <v>110</v>
      </c>
      <c r="AM17" s="71">
        <v>0</v>
      </c>
      <c r="AN17" s="71">
        <v>6029</v>
      </c>
      <c r="AO17" s="71">
        <v>6228</v>
      </c>
      <c r="AP17" s="71">
        <v>6766</v>
      </c>
      <c r="AQ17" s="71">
        <v>3285</v>
      </c>
      <c r="AR17" s="71">
        <v>623</v>
      </c>
      <c r="AS17" s="71">
        <v>189</v>
      </c>
      <c r="AT17" s="71">
        <v>23120</v>
      </c>
      <c r="AU17" s="72">
        <f t="shared" si="1"/>
        <v>23120</v>
      </c>
    </row>
    <row r="18" spans="1:47" ht="15">
      <c r="A18" s="3" t="s">
        <v>103</v>
      </c>
      <c r="B18" s="4">
        <v>14892</v>
      </c>
      <c r="C18" s="4">
        <v>74</v>
      </c>
      <c r="D18" s="4">
        <v>134</v>
      </c>
      <c r="E18" s="4">
        <v>145</v>
      </c>
      <c r="F18" s="4">
        <v>209</v>
      </c>
      <c r="G18" s="4">
        <v>54</v>
      </c>
      <c r="H18" s="4">
        <v>741</v>
      </c>
      <c r="I18" s="4">
        <v>13</v>
      </c>
      <c r="J18" s="4">
        <v>63</v>
      </c>
      <c r="K18" s="4">
        <v>155</v>
      </c>
      <c r="L18" s="4">
        <v>547</v>
      </c>
      <c r="M18" s="4">
        <v>84</v>
      </c>
      <c r="N18" s="4">
        <v>203</v>
      </c>
      <c r="O18" s="4">
        <v>104</v>
      </c>
      <c r="P18" s="4">
        <v>205</v>
      </c>
      <c r="Q18" s="4">
        <v>2186</v>
      </c>
      <c r="R18" s="4">
        <v>98</v>
      </c>
      <c r="S18" s="4">
        <v>7</v>
      </c>
      <c r="T18" s="4">
        <v>12601</v>
      </c>
      <c r="U18" s="4">
        <v>562</v>
      </c>
      <c r="V18" s="4">
        <v>1026</v>
      </c>
      <c r="W18" s="4">
        <v>834</v>
      </c>
      <c r="X18" s="4">
        <v>309</v>
      </c>
      <c r="Y18" s="6">
        <f t="shared" si="2"/>
        <v>17623</v>
      </c>
      <c r="AA18" s="67" t="s">
        <v>106</v>
      </c>
      <c r="AB18" s="71">
        <v>813</v>
      </c>
      <c r="AC18" s="71">
        <v>1864</v>
      </c>
      <c r="AD18" s="71">
        <v>7197</v>
      </c>
      <c r="AE18" s="71">
        <v>6189</v>
      </c>
      <c r="AF18" s="71">
        <v>3594</v>
      </c>
      <c r="AG18" s="71">
        <v>1353</v>
      </c>
      <c r="AH18" s="71">
        <v>547</v>
      </c>
      <c r="AI18" s="71">
        <v>107</v>
      </c>
      <c r="AJ18" s="72">
        <f t="shared" si="0"/>
        <v>21664</v>
      </c>
      <c r="AL18" s="3" t="s">
        <v>111</v>
      </c>
      <c r="AM18" s="4">
        <v>0</v>
      </c>
      <c r="AN18" s="4">
        <v>958</v>
      </c>
      <c r="AO18" s="4">
        <v>677</v>
      </c>
      <c r="AP18" s="4">
        <v>657</v>
      </c>
      <c r="AQ18" s="4">
        <v>298</v>
      </c>
      <c r="AR18" s="4">
        <v>100</v>
      </c>
      <c r="AS18" s="4">
        <v>32</v>
      </c>
      <c r="AT18" s="4">
        <v>2722</v>
      </c>
      <c r="AU18" s="6">
        <f t="shared" si="1"/>
        <v>2722</v>
      </c>
    </row>
    <row r="19" spans="1:47" ht="15">
      <c r="A19" s="3" t="s">
        <v>104</v>
      </c>
      <c r="B19" s="4">
        <v>11390</v>
      </c>
      <c r="C19" s="4">
        <v>2</v>
      </c>
      <c r="D19" s="4">
        <v>14</v>
      </c>
      <c r="E19" s="4">
        <v>24</v>
      </c>
      <c r="F19" s="4">
        <v>72</v>
      </c>
      <c r="G19" s="4">
        <v>13</v>
      </c>
      <c r="H19" s="4">
        <v>8</v>
      </c>
      <c r="I19" s="4">
        <v>2</v>
      </c>
      <c r="J19" s="4">
        <v>12</v>
      </c>
      <c r="K19" s="4">
        <v>42</v>
      </c>
      <c r="L19" s="4">
        <v>53</v>
      </c>
      <c r="M19" s="4">
        <v>19</v>
      </c>
      <c r="N19" s="4">
        <v>20</v>
      </c>
      <c r="O19" s="4">
        <v>19</v>
      </c>
      <c r="P19" s="4">
        <v>132</v>
      </c>
      <c r="Q19" s="4">
        <v>763</v>
      </c>
      <c r="R19" s="4">
        <v>44</v>
      </c>
      <c r="S19" s="4">
        <v>15</v>
      </c>
      <c r="T19" s="4">
        <v>10568</v>
      </c>
      <c r="U19" s="4">
        <v>112</v>
      </c>
      <c r="V19" s="4">
        <v>77</v>
      </c>
      <c r="W19" s="4">
        <v>92</v>
      </c>
      <c r="X19" s="4">
        <v>151</v>
      </c>
      <c r="Y19" s="6">
        <f t="shared" si="2"/>
        <v>11822</v>
      </c>
      <c r="AA19" s="3" t="s">
        <v>107</v>
      </c>
      <c r="AB19" s="4">
        <v>72</v>
      </c>
      <c r="AC19" s="4">
        <v>128</v>
      </c>
      <c r="AD19" s="4">
        <v>316</v>
      </c>
      <c r="AE19" s="4">
        <v>671</v>
      </c>
      <c r="AF19" s="4">
        <v>297</v>
      </c>
      <c r="AG19" s="4">
        <v>89</v>
      </c>
      <c r="AH19" s="4">
        <v>48</v>
      </c>
      <c r="AI19" s="4">
        <v>13</v>
      </c>
      <c r="AJ19" s="6">
        <f t="shared" si="0"/>
        <v>1634</v>
      </c>
      <c r="AL19" s="3" t="s">
        <v>112</v>
      </c>
      <c r="AM19" s="4">
        <v>0</v>
      </c>
      <c r="AN19" s="4">
        <v>952</v>
      </c>
      <c r="AO19" s="4">
        <v>830</v>
      </c>
      <c r="AP19" s="4">
        <v>885</v>
      </c>
      <c r="AQ19" s="4">
        <v>350</v>
      </c>
      <c r="AR19" s="4">
        <v>54</v>
      </c>
      <c r="AS19" s="4">
        <v>25</v>
      </c>
      <c r="AT19" s="4">
        <v>3096</v>
      </c>
      <c r="AU19" s="6">
        <f t="shared" si="1"/>
        <v>3096</v>
      </c>
    </row>
    <row r="20" spans="1:47" ht="15">
      <c r="A20" s="73" t="s">
        <v>105</v>
      </c>
      <c r="B20" s="74">
        <v>3918</v>
      </c>
      <c r="C20" s="74">
        <v>2</v>
      </c>
      <c r="D20" s="74">
        <v>15</v>
      </c>
      <c r="E20" s="74">
        <v>50</v>
      </c>
      <c r="F20" s="74">
        <v>60</v>
      </c>
      <c r="G20" s="74">
        <v>6</v>
      </c>
      <c r="H20" s="74">
        <v>13</v>
      </c>
      <c r="I20" s="74">
        <v>0</v>
      </c>
      <c r="J20" s="74">
        <v>7</v>
      </c>
      <c r="K20" s="74">
        <v>36</v>
      </c>
      <c r="L20" s="74">
        <v>40</v>
      </c>
      <c r="M20" s="74">
        <v>4</v>
      </c>
      <c r="N20" s="74">
        <v>21</v>
      </c>
      <c r="O20" s="74">
        <v>9</v>
      </c>
      <c r="P20" s="74">
        <v>137</v>
      </c>
      <c r="Q20" s="74">
        <v>811</v>
      </c>
      <c r="R20" s="74">
        <v>10</v>
      </c>
      <c r="S20" s="74">
        <v>0</v>
      </c>
      <c r="T20" s="74">
        <v>3097</v>
      </c>
      <c r="U20" s="74">
        <v>127</v>
      </c>
      <c r="V20" s="74">
        <v>62</v>
      </c>
      <c r="W20" s="74">
        <v>65</v>
      </c>
      <c r="X20" s="74">
        <v>146</v>
      </c>
      <c r="Y20" s="75">
        <f t="shared" si="2"/>
        <v>4318</v>
      </c>
      <c r="AA20" s="3" t="s">
        <v>108</v>
      </c>
      <c r="AB20" s="4">
        <v>156</v>
      </c>
      <c r="AC20" s="4">
        <v>429</v>
      </c>
      <c r="AD20" s="4">
        <v>957</v>
      </c>
      <c r="AE20" s="4">
        <v>1444</v>
      </c>
      <c r="AF20" s="4">
        <v>1141</v>
      </c>
      <c r="AG20" s="4">
        <v>559</v>
      </c>
      <c r="AH20" s="4">
        <v>180</v>
      </c>
      <c r="AI20" s="4">
        <v>23</v>
      </c>
      <c r="AJ20" s="6">
        <f t="shared" si="0"/>
        <v>4889</v>
      </c>
      <c r="AL20" s="3" t="s">
        <v>113</v>
      </c>
      <c r="AM20" s="4">
        <v>0</v>
      </c>
      <c r="AN20" s="4">
        <v>3056</v>
      </c>
      <c r="AO20" s="4">
        <v>3517</v>
      </c>
      <c r="AP20" s="4">
        <v>3577</v>
      </c>
      <c r="AQ20" s="4">
        <v>1841</v>
      </c>
      <c r="AR20" s="4">
        <v>378</v>
      </c>
      <c r="AS20" s="4">
        <v>116</v>
      </c>
      <c r="AT20" s="4">
        <v>12485</v>
      </c>
      <c r="AU20" s="6">
        <f t="shared" si="1"/>
        <v>12485</v>
      </c>
    </row>
    <row r="21" spans="1:47" ht="15">
      <c r="A21" s="67" t="s">
        <v>106</v>
      </c>
      <c r="B21" s="71">
        <v>8047</v>
      </c>
      <c r="C21" s="71">
        <v>16</v>
      </c>
      <c r="D21" s="71">
        <v>437</v>
      </c>
      <c r="E21" s="71">
        <v>80</v>
      </c>
      <c r="F21" s="71">
        <v>285</v>
      </c>
      <c r="G21" s="71">
        <v>1664</v>
      </c>
      <c r="H21" s="71">
        <v>159</v>
      </c>
      <c r="I21" s="71">
        <v>5</v>
      </c>
      <c r="J21" s="71">
        <v>188</v>
      </c>
      <c r="K21" s="71">
        <v>698</v>
      </c>
      <c r="L21" s="71">
        <v>7994</v>
      </c>
      <c r="M21" s="71">
        <v>71</v>
      </c>
      <c r="N21" s="71">
        <v>858</v>
      </c>
      <c r="O21" s="71">
        <v>646</v>
      </c>
      <c r="P21" s="71">
        <v>516</v>
      </c>
      <c r="Q21" s="71">
        <v>3500</v>
      </c>
      <c r="R21" s="71">
        <v>158</v>
      </c>
      <c r="S21" s="71">
        <v>1</v>
      </c>
      <c r="T21" s="71">
        <v>4388</v>
      </c>
      <c r="U21" s="71">
        <v>818</v>
      </c>
      <c r="V21" s="71">
        <v>2714</v>
      </c>
      <c r="W21" s="71">
        <v>8923</v>
      </c>
      <c r="X21" s="71">
        <v>1162</v>
      </c>
      <c r="Y21" s="72">
        <f t="shared" si="2"/>
        <v>21664</v>
      </c>
      <c r="AA21" s="3" t="s">
        <v>109</v>
      </c>
      <c r="AB21" s="4">
        <v>584</v>
      </c>
      <c r="AC21" s="4">
        <v>1305</v>
      </c>
      <c r="AD21" s="4">
        <v>5914</v>
      </c>
      <c r="AE21" s="4">
        <v>4022</v>
      </c>
      <c r="AF21" s="4">
        <v>2079</v>
      </c>
      <c r="AG21" s="4">
        <v>691</v>
      </c>
      <c r="AH21" s="4">
        <v>307</v>
      </c>
      <c r="AI21" s="4">
        <v>69</v>
      </c>
      <c r="AJ21" s="6">
        <f t="shared" si="0"/>
        <v>14971</v>
      </c>
      <c r="AL21" s="3" t="s">
        <v>114</v>
      </c>
      <c r="AM21" s="4">
        <v>0</v>
      </c>
      <c r="AN21" s="4">
        <v>1044</v>
      </c>
      <c r="AO21" s="4">
        <v>1148</v>
      </c>
      <c r="AP21" s="4">
        <v>1598</v>
      </c>
      <c r="AQ21" s="4">
        <v>784</v>
      </c>
      <c r="AR21" s="4">
        <v>91</v>
      </c>
      <c r="AS21" s="4">
        <v>16</v>
      </c>
      <c r="AT21" s="4">
        <v>4681</v>
      </c>
      <c r="AU21" s="6">
        <f t="shared" si="1"/>
        <v>4681</v>
      </c>
    </row>
    <row r="22" spans="1:47" ht="15">
      <c r="A22" s="3" t="s">
        <v>107</v>
      </c>
      <c r="B22" s="4">
        <v>477</v>
      </c>
      <c r="C22" s="4">
        <v>2</v>
      </c>
      <c r="D22" s="4">
        <v>96</v>
      </c>
      <c r="E22" s="4">
        <v>2</v>
      </c>
      <c r="F22" s="4">
        <v>41</v>
      </c>
      <c r="G22" s="4">
        <v>8</v>
      </c>
      <c r="H22" s="4">
        <v>12</v>
      </c>
      <c r="I22" s="4">
        <v>1</v>
      </c>
      <c r="J22" s="4">
        <v>0</v>
      </c>
      <c r="K22" s="4">
        <v>13</v>
      </c>
      <c r="L22" s="4">
        <v>191</v>
      </c>
      <c r="M22" s="4">
        <v>3</v>
      </c>
      <c r="N22" s="4">
        <v>30</v>
      </c>
      <c r="O22" s="4">
        <v>567</v>
      </c>
      <c r="P22" s="4">
        <v>191</v>
      </c>
      <c r="Q22" s="4">
        <v>183</v>
      </c>
      <c r="R22" s="4">
        <v>2</v>
      </c>
      <c r="S22" s="4">
        <v>0</v>
      </c>
      <c r="T22" s="4">
        <v>292</v>
      </c>
      <c r="U22" s="4">
        <v>141</v>
      </c>
      <c r="V22" s="4">
        <v>34</v>
      </c>
      <c r="W22" s="4">
        <v>224</v>
      </c>
      <c r="X22" s="4">
        <v>758</v>
      </c>
      <c r="Y22" s="6">
        <f t="shared" si="2"/>
        <v>1634</v>
      </c>
      <c r="AA22" s="3" t="s">
        <v>131</v>
      </c>
      <c r="AB22" s="4">
        <v>1</v>
      </c>
      <c r="AC22" s="4">
        <v>2</v>
      </c>
      <c r="AD22" s="4">
        <v>10</v>
      </c>
      <c r="AE22" s="4">
        <v>52</v>
      </c>
      <c r="AF22" s="4">
        <v>77</v>
      </c>
      <c r="AG22" s="4">
        <v>14</v>
      </c>
      <c r="AH22" s="4">
        <v>12</v>
      </c>
      <c r="AI22" s="4">
        <v>2</v>
      </c>
      <c r="AJ22" s="6">
        <f t="shared" si="0"/>
        <v>170</v>
      </c>
      <c r="AL22" s="3" t="s">
        <v>115</v>
      </c>
      <c r="AM22" s="4">
        <v>0</v>
      </c>
      <c r="AN22" s="4">
        <v>19</v>
      </c>
      <c r="AO22" s="4">
        <v>56</v>
      </c>
      <c r="AP22" s="4">
        <v>49</v>
      </c>
      <c r="AQ22" s="4">
        <v>12</v>
      </c>
      <c r="AR22" s="4">
        <v>0</v>
      </c>
      <c r="AS22" s="4">
        <v>0</v>
      </c>
      <c r="AT22" s="4">
        <v>136</v>
      </c>
      <c r="AU22" s="6">
        <f t="shared" si="1"/>
        <v>136</v>
      </c>
    </row>
    <row r="23" spans="1:47" ht="15">
      <c r="A23" s="3" t="s">
        <v>108</v>
      </c>
      <c r="B23" s="4">
        <v>220</v>
      </c>
      <c r="C23" s="4">
        <v>3</v>
      </c>
      <c r="D23" s="4">
        <v>145</v>
      </c>
      <c r="E23" s="4">
        <v>5</v>
      </c>
      <c r="F23" s="4">
        <v>31</v>
      </c>
      <c r="G23" s="4">
        <v>28</v>
      </c>
      <c r="H23" s="4">
        <v>23</v>
      </c>
      <c r="I23" s="4">
        <v>2</v>
      </c>
      <c r="J23" s="4">
        <v>4</v>
      </c>
      <c r="K23" s="4">
        <v>13</v>
      </c>
      <c r="L23" s="4">
        <v>4134</v>
      </c>
      <c r="M23" s="4">
        <v>43</v>
      </c>
      <c r="N23" s="4">
        <v>184</v>
      </c>
      <c r="O23" s="4">
        <v>34</v>
      </c>
      <c r="P23" s="4">
        <v>20</v>
      </c>
      <c r="Q23" s="4">
        <v>120</v>
      </c>
      <c r="R23" s="4">
        <v>2</v>
      </c>
      <c r="S23" s="4">
        <v>0</v>
      </c>
      <c r="T23" s="4">
        <v>98</v>
      </c>
      <c r="U23" s="4">
        <v>184</v>
      </c>
      <c r="V23" s="4">
        <v>70</v>
      </c>
      <c r="W23" s="4">
        <v>4361</v>
      </c>
      <c r="X23" s="4">
        <v>54</v>
      </c>
      <c r="Y23" s="6">
        <f t="shared" si="2"/>
        <v>4889</v>
      </c>
      <c r="AA23" s="67" t="s">
        <v>110</v>
      </c>
      <c r="AB23" s="71">
        <v>1427</v>
      </c>
      <c r="AC23" s="71">
        <v>2602</v>
      </c>
      <c r="AD23" s="71">
        <v>5845</v>
      </c>
      <c r="AE23" s="71">
        <v>6719</v>
      </c>
      <c r="AF23" s="71">
        <v>3859</v>
      </c>
      <c r="AG23" s="71">
        <v>1638</v>
      </c>
      <c r="AH23" s="71">
        <v>815</v>
      </c>
      <c r="AI23" s="71">
        <v>215</v>
      </c>
      <c r="AJ23" s="72">
        <f t="shared" si="0"/>
        <v>23120</v>
      </c>
      <c r="AL23" s="67" t="s">
        <v>116</v>
      </c>
      <c r="AM23" s="71">
        <v>0</v>
      </c>
      <c r="AN23" s="71">
        <v>3942</v>
      </c>
      <c r="AO23" s="71">
        <v>4290</v>
      </c>
      <c r="AP23" s="71">
        <v>4807</v>
      </c>
      <c r="AQ23" s="71">
        <v>1569</v>
      </c>
      <c r="AR23" s="71">
        <v>238</v>
      </c>
      <c r="AS23" s="71">
        <v>85</v>
      </c>
      <c r="AT23" s="71">
        <v>14931</v>
      </c>
      <c r="AU23" s="72">
        <f t="shared" si="1"/>
        <v>14931</v>
      </c>
    </row>
    <row r="24" spans="1:47" ht="15">
      <c r="A24" s="3" t="s">
        <v>109</v>
      </c>
      <c r="B24" s="4">
        <v>7335</v>
      </c>
      <c r="C24" s="4">
        <v>11</v>
      </c>
      <c r="D24" s="4">
        <v>196</v>
      </c>
      <c r="E24" s="4">
        <v>72</v>
      </c>
      <c r="F24" s="4">
        <v>213</v>
      </c>
      <c r="G24" s="4">
        <v>1537</v>
      </c>
      <c r="H24" s="4">
        <v>120</v>
      </c>
      <c r="I24" s="4">
        <v>2</v>
      </c>
      <c r="J24" s="4">
        <v>183</v>
      </c>
      <c r="K24" s="4">
        <v>662</v>
      </c>
      <c r="L24" s="4">
        <v>3628</v>
      </c>
      <c r="M24" s="4">
        <v>24</v>
      </c>
      <c r="N24" s="4">
        <v>641</v>
      </c>
      <c r="O24" s="4">
        <v>44</v>
      </c>
      <c r="P24" s="4">
        <v>303</v>
      </c>
      <c r="Q24" s="4">
        <v>3187</v>
      </c>
      <c r="R24" s="4">
        <v>153</v>
      </c>
      <c r="S24" s="4">
        <v>1</v>
      </c>
      <c r="T24" s="4">
        <v>3994</v>
      </c>
      <c r="U24" s="4">
        <v>492</v>
      </c>
      <c r="V24" s="4">
        <v>2504</v>
      </c>
      <c r="W24" s="4">
        <v>4293</v>
      </c>
      <c r="X24" s="4">
        <v>347</v>
      </c>
      <c r="Y24" s="6">
        <f t="shared" si="2"/>
        <v>14971</v>
      </c>
      <c r="AA24" s="3" t="s">
        <v>111</v>
      </c>
      <c r="AB24" s="4">
        <v>159</v>
      </c>
      <c r="AC24" s="4">
        <v>351</v>
      </c>
      <c r="AD24" s="4">
        <v>768</v>
      </c>
      <c r="AE24" s="4">
        <v>725</v>
      </c>
      <c r="AF24" s="4">
        <v>427</v>
      </c>
      <c r="AG24" s="4">
        <v>174</v>
      </c>
      <c r="AH24" s="4">
        <v>93</v>
      </c>
      <c r="AI24" s="4">
        <v>25</v>
      </c>
      <c r="AJ24" s="6">
        <f t="shared" si="0"/>
        <v>2722</v>
      </c>
      <c r="AL24" s="3" t="s">
        <v>117</v>
      </c>
      <c r="AM24" s="4">
        <v>0</v>
      </c>
      <c r="AN24" s="4">
        <v>2999</v>
      </c>
      <c r="AO24" s="4">
        <v>2769</v>
      </c>
      <c r="AP24" s="4">
        <v>2851</v>
      </c>
      <c r="AQ24" s="4">
        <v>946</v>
      </c>
      <c r="AR24" s="4">
        <v>145</v>
      </c>
      <c r="AS24" s="4">
        <v>60</v>
      </c>
      <c r="AT24" s="4">
        <v>9770</v>
      </c>
      <c r="AU24" s="6">
        <f t="shared" si="1"/>
        <v>9770</v>
      </c>
    </row>
    <row r="25" spans="1:47" ht="15">
      <c r="A25" s="3" t="s">
        <v>131</v>
      </c>
      <c r="B25" s="4">
        <v>15</v>
      </c>
      <c r="C25" s="4">
        <v>0</v>
      </c>
      <c r="D25" s="4">
        <v>0</v>
      </c>
      <c r="E25" s="4">
        <v>1</v>
      </c>
      <c r="F25" s="4">
        <v>0</v>
      </c>
      <c r="G25" s="4">
        <v>91</v>
      </c>
      <c r="H25" s="4">
        <v>4</v>
      </c>
      <c r="I25" s="4">
        <v>0</v>
      </c>
      <c r="J25" s="4">
        <v>1</v>
      </c>
      <c r="K25" s="4">
        <v>10</v>
      </c>
      <c r="L25" s="4">
        <v>41</v>
      </c>
      <c r="M25" s="4">
        <v>1</v>
      </c>
      <c r="N25" s="4">
        <v>3</v>
      </c>
      <c r="O25" s="4">
        <v>1</v>
      </c>
      <c r="P25" s="4">
        <v>2</v>
      </c>
      <c r="Q25" s="4">
        <v>10</v>
      </c>
      <c r="R25" s="4">
        <v>1</v>
      </c>
      <c r="S25" s="4">
        <v>0</v>
      </c>
      <c r="T25" s="4">
        <v>4</v>
      </c>
      <c r="U25" s="4">
        <v>1</v>
      </c>
      <c r="V25" s="4">
        <v>106</v>
      </c>
      <c r="W25" s="4">
        <v>45</v>
      </c>
      <c r="X25" s="4">
        <v>3</v>
      </c>
      <c r="Y25" s="6">
        <f t="shared" si="2"/>
        <v>170</v>
      </c>
      <c r="AA25" s="3" t="s">
        <v>112</v>
      </c>
      <c r="AB25" s="4">
        <v>197</v>
      </c>
      <c r="AC25" s="4">
        <v>391</v>
      </c>
      <c r="AD25" s="4">
        <v>1049</v>
      </c>
      <c r="AE25" s="4">
        <v>900</v>
      </c>
      <c r="AF25" s="4">
        <v>386</v>
      </c>
      <c r="AG25" s="4">
        <v>96</v>
      </c>
      <c r="AH25" s="4">
        <v>65</v>
      </c>
      <c r="AI25" s="4">
        <v>12</v>
      </c>
      <c r="AJ25" s="6">
        <f t="shared" si="0"/>
        <v>3096</v>
      </c>
      <c r="AL25" s="3" t="s">
        <v>118</v>
      </c>
      <c r="AM25" s="4">
        <v>0</v>
      </c>
      <c r="AN25" s="4">
        <v>943</v>
      </c>
      <c r="AO25" s="4">
        <v>1521</v>
      </c>
      <c r="AP25" s="4">
        <v>1956</v>
      </c>
      <c r="AQ25" s="4">
        <v>623</v>
      </c>
      <c r="AR25" s="4">
        <v>93</v>
      </c>
      <c r="AS25" s="4">
        <v>25</v>
      </c>
      <c r="AT25" s="4">
        <v>5161</v>
      </c>
      <c r="AU25" s="6">
        <f t="shared" si="1"/>
        <v>5161</v>
      </c>
    </row>
    <row r="26" spans="1:47" ht="15">
      <c r="A26" s="67" t="s">
        <v>110</v>
      </c>
      <c r="B26" s="71">
        <v>2368</v>
      </c>
      <c r="C26" s="71">
        <v>10</v>
      </c>
      <c r="D26" s="71">
        <v>16</v>
      </c>
      <c r="E26" s="71">
        <v>482</v>
      </c>
      <c r="F26" s="71">
        <v>260</v>
      </c>
      <c r="G26" s="71">
        <v>3461</v>
      </c>
      <c r="H26" s="71">
        <v>5522</v>
      </c>
      <c r="I26" s="71">
        <v>751</v>
      </c>
      <c r="J26" s="71">
        <v>2205</v>
      </c>
      <c r="K26" s="71">
        <v>6214</v>
      </c>
      <c r="L26" s="71">
        <v>113</v>
      </c>
      <c r="M26" s="71">
        <v>29</v>
      </c>
      <c r="N26" s="71">
        <v>66</v>
      </c>
      <c r="O26" s="71">
        <v>728</v>
      </c>
      <c r="P26" s="71">
        <v>895</v>
      </c>
      <c r="Q26" s="71">
        <v>1545</v>
      </c>
      <c r="R26" s="71">
        <v>42</v>
      </c>
      <c r="S26" s="71">
        <v>3</v>
      </c>
      <c r="T26" s="71">
        <v>778</v>
      </c>
      <c r="U26" s="71">
        <v>768</v>
      </c>
      <c r="V26" s="71">
        <v>18153</v>
      </c>
      <c r="W26" s="71">
        <v>208</v>
      </c>
      <c r="X26" s="71">
        <v>1623</v>
      </c>
      <c r="Y26" s="72">
        <f t="shared" si="2"/>
        <v>23120</v>
      </c>
      <c r="AA26" s="3" t="s">
        <v>113</v>
      </c>
      <c r="AB26" s="4">
        <v>815</v>
      </c>
      <c r="AC26" s="4">
        <v>1435</v>
      </c>
      <c r="AD26" s="4">
        <v>2874</v>
      </c>
      <c r="AE26" s="4">
        <v>3377</v>
      </c>
      <c r="AF26" s="4">
        <v>2101</v>
      </c>
      <c r="AG26" s="4">
        <v>1137</v>
      </c>
      <c r="AH26" s="4">
        <v>594</v>
      </c>
      <c r="AI26" s="4">
        <v>152</v>
      </c>
      <c r="AJ26" s="6">
        <f t="shared" si="0"/>
        <v>12485</v>
      </c>
      <c r="AL26" s="67" t="s">
        <v>119</v>
      </c>
      <c r="AM26" s="71">
        <v>0</v>
      </c>
      <c r="AN26" s="71">
        <v>654</v>
      </c>
      <c r="AO26" s="71">
        <v>2901</v>
      </c>
      <c r="AP26" s="71">
        <v>5171</v>
      </c>
      <c r="AQ26" s="71">
        <v>497</v>
      </c>
      <c r="AR26" s="71">
        <v>77</v>
      </c>
      <c r="AS26" s="71">
        <v>14</v>
      </c>
      <c r="AT26" s="71">
        <v>9314</v>
      </c>
      <c r="AU26" s="72">
        <f t="shared" si="1"/>
        <v>9314</v>
      </c>
    </row>
    <row r="27" spans="1:47" ht="15">
      <c r="A27" s="3" t="s">
        <v>111</v>
      </c>
      <c r="B27" s="4">
        <v>768</v>
      </c>
      <c r="C27" s="4">
        <v>2</v>
      </c>
      <c r="D27" s="4">
        <v>9</v>
      </c>
      <c r="E27" s="4">
        <v>80</v>
      </c>
      <c r="F27" s="4">
        <v>66</v>
      </c>
      <c r="G27" s="4">
        <v>71</v>
      </c>
      <c r="H27" s="4">
        <v>85</v>
      </c>
      <c r="I27" s="4">
        <v>5</v>
      </c>
      <c r="J27" s="4">
        <v>25</v>
      </c>
      <c r="K27" s="4">
        <v>316</v>
      </c>
      <c r="L27" s="4">
        <v>58</v>
      </c>
      <c r="M27" s="4">
        <v>4</v>
      </c>
      <c r="N27" s="4">
        <v>20</v>
      </c>
      <c r="O27" s="4">
        <v>697</v>
      </c>
      <c r="P27" s="4">
        <v>516</v>
      </c>
      <c r="Q27" s="4">
        <v>349</v>
      </c>
      <c r="R27" s="4">
        <v>11</v>
      </c>
      <c r="S27" s="4">
        <v>1</v>
      </c>
      <c r="T27" s="4">
        <v>407</v>
      </c>
      <c r="U27" s="4">
        <v>157</v>
      </c>
      <c r="V27" s="4">
        <v>502</v>
      </c>
      <c r="W27" s="4">
        <v>82</v>
      </c>
      <c r="X27" s="4">
        <v>1213</v>
      </c>
      <c r="Y27" s="6">
        <f t="shared" si="2"/>
        <v>2722</v>
      </c>
      <c r="AA27" s="3" t="s">
        <v>114</v>
      </c>
      <c r="AB27" s="4">
        <v>248</v>
      </c>
      <c r="AC27" s="4">
        <v>401</v>
      </c>
      <c r="AD27" s="4">
        <v>1092</v>
      </c>
      <c r="AE27" s="4">
        <v>1683</v>
      </c>
      <c r="AF27" s="4">
        <v>938</v>
      </c>
      <c r="AG27" s="4">
        <v>230</v>
      </c>
      <c r="AH27" s="4">
        <v>63</v>
      </c>
      <c r="AI27" s="4">
        <v>26</v>
      </c>
      <c r="AJ27" s="6">
        <f t="shared" si="0"/>
        <v>4681</v>
      </c>
      <c r="AL27" s="3" t="s">
        <v>48</v>
      </c>
      <c r="AM27" s="5">
        <f>AM5+AM6+AM9+AM10+AM11+AM13+AM14+AM15+AM16+AM18+AM19+AM20+AM21+AM22+AM24+AM26+AM25</f>
        <v>198422</v>
      </c>
      <c r="AN27" s="5">
        <f aca="true" t="shared" si="3" ref="AN27:AT27">AN5+AN6+AN9+AN10+AN11+AN13+AN14+AN15+AN16+AN18+AN19+AN20+AN21+AN22+AN24+AN26+AN25</f>
        <v>23247</v>
      </c>
      <c r="AO27" s="5">
        <f t="shared" si="3"/>
        <v>36294</v>
      </c>
      <c r="AP27" s="5">
        <f t="shared" si="3"/>
        <v>36236</v>
      </c>
      <c r="AQ27" s="5">
        <f t="shared" si="3"/>
        <v>10234</v>
      </c>
      <c r="AR27" s="5">
        <f t="shared" si="3"/>
        <v>1971</v>
      </c>
      <c r="AS27" s="5">
        <f t="shared" si="3"/>
        <v>591</v>
      </c>
      <c r="AT27" s="5">
        <f t="shared" si="3"/>
        <v>108573</v>
      </c>
      <c r="AU27" s="6">
        <f t="shared" si="1"/>
        <v>306995</v>
      </c>
    </row>
    <row r="28" spans="1:47" ht="15">
      <c r="A28" s="3" t="s">
        <v>112</v>
      </c>
      <c r="B28" s="4">
        <v>514</v>
      </c>
      <c r="C28" s="4">
        <v>0</v>
      </c>
      <c r="D28" s="4">
        <v>4</v>
      </c>
      <c r="E28" s="4">
        <v>87</v>
      </c>
      <c r="F28" s="4">
        <v>63</v>
      </c>
      <c r="G28" s="4">
        <v>10</v>
      </c>
      <c r="H28" s="4">
        <v>23</v>
      </c>
      <c r="I28" s="4">
        <v>3</v>
      </c>
      <c r="J28" s="4">
        <v>1424</v>
      </c>
      <c r="K28" s="4">
        <v>864</v>
      </c>
      <c r="L28" s="4">
        <v>15</v>
      </c>
      <c r="M28" s="4">
        <v>4</v>
      </c>
      <c r="N28" s="4">
        <v>5</v>
      </c>
      <c r="O28" s="4">
        <v>9</v>
      </c>
      <c r="P28" s="4">
        <v>71</v>
      </c>
      <c r="Q28" s="4">
        <v>415</v>
      </c>
      <c r="R28" s="4">
        <v>9</v>
      </c>
      <c r="S28" s="4">
        <v>0</v>
      </c>
      <c r="T28" s="4">
        <v>90</v>
      </c>
      <c r="U28" s="4">
        <v>154</v>
      </c>
      <c r="V28" s="4">
        <v>2324</v>
      </c>
      <c r="W28" s="4">
        <v>24</v>
      </c>
      <c r="X28" s="4">
        <v>80</v>
      </c>
      <c r="Y28" s="6">
        <f t="shared" si="2"/>
        <v>3096</v>
      </c>
      <c r="AA28" s="3" t="s">
        <v>115</v>
      </c>
      <c r="AB28" s="4">
        <v>8</v>
      </c>
      <c r="AC28" s="4">
        <v>24</v>
      </c>
      <c r="AD28" s="4">
        <v>62</v>
      </c>
      <c r="AE28" s="4">
        <v>34</v>
      </c>
      <c r="AF28" s="4">
        <v>7</v>
      </c>
      <c r="AG28" s="4">
        <v>1</v>
      </c>
      <c r="AH28" s="4">
        <v>0</v>
      </c>
      <c r="AI28" s="4">
        <v>0</v>
      </c>
      <c r="AJ28" s="6">
        <f t="shared" si="0"/>
        <v>136</v>
      </c>
      <c r="AL28" s="8" t="s">
        <v>164</v>
      </c>
      <c r="AM28"/>
      <c r="AN28" s="8"/>
      <c r="AO28"/>
      <c r="AP28" s="9"/>
      <c r="AQ28" s="9"/>
      <c r="AR28" s="9"/>
      <c r="AS28" s="9"/>
      <c r="AT28" s="9"/>
      <c r="AU28" s="10" t="s">
        <v>18</v>
      </c>
    </row>
    <row r="29" spans="1:47" ht="15">
      <c r="A29" s="3" t="s">
        <v>113</v>
      </c>
      <c r="B29" s="4">
        <v>454</v>
      </c>
      <c r="C29" s="4">
        <v>5</v>
      </c>
      <c r="D29" s="4">
        <v>2</v>
      </c>
      <c r="E29" s="4">
        <v>164</v>
      </c>
      <c r="F29" s="4">
        <v>59</v>
      </c>
      <c r="G29" s="4">
        <v>3295</v>
      </c>
      <c r="H29" s="4">
        <v>5386</v>
      </c>
      <c r="I29" s="4">
        <v>738</v>
      </c>
      <c r="J29" s="4">
        <v>39</v>
      </c>
      <c r="K29" s="4">
        <v>2153</v>
      </c>
      <c r="L29" s="4">
        <v>21</v>
      </c>
      <c r="M29" s="4">
        <v>15</v>
      </c>
      <c r="N29" s="4">
        <v>25</v>
      </c>
      <c r="O29" s="4">
        <v>12</v>
      </c>
      <c r="P29" s="4">
        <v>117</v>
      </c>
      <c r="Q29" s="4">
        <v>342</v>
      </c>
      <c r="R29" s="4">
        <v>12</v>
      </c>
      <c r="S29" s="4">
        <v>0</v>
      </c>
      <c r="T29" s="4">
        <v>100</v>
      </c>
      <c r="U29" s="4">
        <v>230</v>
      </c>
      <c r="V29" s="4">
        <v>11611</v>
      </c>
      <c r="W29" s="4">
        <v>61</v>
      </c>
      <c r="X29" s="4">
        <v>129</v>
      </c>
      <c r="Y29" s="6">
        <f t="shared" si="2"/>
        <v>12485</v>
      </c>
      <c r="AA29" s="67" t="s">
        <v>116</v>
      </c>
      <c r="AB29" s="71">
        <v>800</v>
      </c>
      <c r="AC29" s="71">
        <v>1074</v>
      </c>
      <c r="AD29" s="71">
        <v>3958</v>
      </c>
      <c r="AE29" s="71">
        <v>3673</v>
      </c>
      <c r="AF29" s="71">
        <v>2681</v>
      </c>
      <c r="AG29" s="71">
        <v>1461</v>
      </c>
      <c r="AH29" s="71">
        <v>1032</v>
      </c>
      <c r="AI29" s="71">
        <v>252</v>
      </c>
      <c r="AJ29" s="72">
        <f t="shared" si="0"/>
        <v>14931</v>
      </c>
      <c r="AL29"/>
      <c r="AM29"/>
      <c r="AN29"/>
      <c r="AO29"/>
      <c r="AP29" s="9"/>
      <c r="AQ29" s="9"/>
      <c r="AR29" s="9"/>
      <c r="AS29" s="9"/>
      <c r="AT29" s="9"/>
      <c r="AU29" s="10" t="s">
        <v>31</v>
      </c>
    </row>
    <row r="30" spans="1:47" ht="15">
      <c r="A30" s="3" t="s">
        <v>114</v>
      </c>
      <c r="B30" s="4">
        <v>559</v>
      </c>
      <c r="C30" s="4">
        <v>3</v>
      </c>
      <c r="D30" s="4">
        <v>1</v>
      </c>
      <c r="E30" s="4">
        <v>145</v>
      </c>
      <c r="F30" s="4">
        <v>69</v>
      </c>
      <c r="G30" s="4">
        <v>85</v>
      </c>
      <c r="H30" s="4">
        <v>27</v>
      </c>
      <c r="I30" s="4">
        <v>5</v>
      </c>
      <c r="J30" s="4">
        <v>716</v>
      </c>
      <c r="K30" s="4">
        <v>2841</v>
      </c>
      <c r="L30" s="4">
        <v>19</v>
      </c>
      <c r="M30" s="4">
        <v>5</v>
      </c>
      <c r="N30" s="4">
        <v>16</v>
      </c>
      <c r="O30" s="4">
        <v>10</v>
      </c>
      <c r="P30" s="4">
        <v>180</v>
      </c>
      <c r="Q30" s="4">
        <v>432</v>
      </c>
      <c r="R30" s="4">
        <v>8</v>
      </c>
      <c r="S30" s="4">
        <v>1</v>
      </c>
      <c r="T30" s="4">
        <v>118</v>
      </c>
      <c r="U30" s="4">
        <v>218</v>
      </c>
      <c r="V30" s="4">
        <v>3674</v>
      </c>
      <c r="W30" s="4">
        <v>40</v>
      </c>
      <c r="X30" s="4">
        <v>190</v>
      </c>
      <c r="Y30" s="6">
        <f t="shared" si="2"/>
        <v>4681</v>
      </c>
      <c r="AA30" s="3" t="s">
        <v>117</v>
      </c>
      <c r="AB30" s="4">
        <v>567</v>
      </c>
      <c r="AC30" s="4">
        <v>626</v>
      </c>
      <c r="AD30" s="4">
        <v>2144</v>
      </c>
      <c r="AE30" s="4">
        <v>2170</v>
      </c>
      <c r="AF30" s="4">
        <v>2054</v>
      </c>
      <c r="AG30" s="4">
        <v>1167</v>
      </c>
      <c r="AH30" s="4">
        <v>833</v>
      </c>
      <c r="AI30" s="4">
        <v>209</v>
      </c>
      <c r="AJ30" s="6">
        <f t="shared" si="0"/>
        <v>9770</v>
      </c>
      <c r="AL30"/>
      <c r="AM30"/>
      <c r="AN30"/>
      <c r="AO30"/>
      <c r="AP30"/>
      <c r="AQ30"/>
      <c r="AR30"/>
      <c r="AS30"/>
      <c r="AT30"/>
      <c r="AU30"/>
    </row>
    <row r="31" spans="1:47" ht="15">
      <c r="A31" s="3" t="s">
        <v>115</v>
      </c>
      <c r="B31" s="4">
        <v>73</v>
      </c>
      <c r="C31" s="4">
        <v>0</v>
      </c>
      <c r="D31" s="4">
        <v>0</v>
      </c>
      <c r="E31" s="4">
        <v>6</v>
      </c>
      <c r="F31" s="4">
        <v>3</v>
      </c>
      <c r="G31" s="4">
        <v>0</v>
      </c>
      <c r="H31" s="4">
        <v>1</v>
      </c>
      <c r="I31" s="4">
        <v>0</v>
      </c>
      <c r="J31" s="4">
        <v>1</v>
      </c>
      <c r="K31" s="4">
        <v>40</v>
      </c>
      <c r="L31" s="4">
        <v>0</v>
      </c>
      <c r="M31" s="4">
        <v>1</v>
      </c>
      <c r="N31" s="4">
        <v>0</v>
      </c>
      <c r="O31" s="4">
        <v>0</v>
      </c>
      <c r="P31" s="4">
        <v>11</v>
      </c>
      <c r="Q31" s="4">
        <v>7</v>
      </c>
      <c r="R31" s="4">
        <v>2</v>
      </c>
      <c r="S31" s="4">
        <v>1</v>
      </c>
      <c r="T31" s="4">
        <v>63</v>
      </c>
      <c r="U31" s="4">
        <v>9</v>
      </c>
      <c r="V31" s="4">
        <v>42</v>
      </c>
      <c r="W31" s="4">
        <v>1</v>
      </c>
      <c r="X31" s="4">
        <v>11</v>
      </c>
      <c r="Y31" s="6">
        <f t="shared" si="2"/>
        <v>136</v>
      </c>
      <c r="AA31" s="3" t="s">
        <v>118</v>
      </c>
      <c r="AB31" s="4">
        <v>233</v>
      </c>
      <c r="AC31" s="4">
        <v>448</v>
      </c>
      <c r="AD31" s="4">
        <v>1814</v>
      </c>
      <c r="AE31" s="4">
        <v>1503</v>
      </c>
      <c r="AF31" s="4">
        <v>627</v>
      </c>
      <c r="AG31" s="4">
        <v>294</v>
      </c>
      <c r="AH31" s="4">
        <v>199</v>
      </c>
      <c r="AI31" s="4">
        <v>43</v>
      </c>
      <c r="AJ31" s="6">
        <f t="shared" si="0"/>
        <v>5161</v>
      </c>
      <c r="AL31"/>
      <c r="AM31"/>
      <c r="AN31"/>
      <c r="AO31"/>
      <c r="AP31"/>
      <c r="AQ31"/>
      <c r="AR31"/>
      <c r="AS31"/>
      <c r="AT31"/>
      <c r="AU31"/>
    </row>
    <row r="32" spans="1:47" ht="15">
      <c r="A32" s="67" t="s">
        <v>116</v>
      </c>
      <c r="B32" s="71">
        <v>6896</v>
      </c>
      <c r="C32" s="71">
        <v>369</v>
      </c>
      <c r="D32" s="71">
        <v>57</v>
      </c>
      <c r="E32" s="71">
        <v>129</v>
      </c>
      <c r="F32" s="71">
        <v>711</v>
      </c>
      <c r="G32" s="71">
        <v>138</v>
      </c>
      <c r="H32" s="71">
        <v>28</v>
      </c>
      <c r="I32" s="71">
        <v>4</v>
      </c>
      <c r="J32" s="71">
        <v>79</v>
      </c>
      <c r="K32" s="71">
        <v>182</v>
      </c>
      <c r="L32" s="71">
        <v>123</v>
      </c>
      <c r="M32" s="71">
        <v>4668</v>
      </c>
      <c r="N32" s="71">
        <v>433</v>
      </c>
      <c r="O32" s="71">
        <v>66</v>
      </c>
      <c r="P32" s="71">
        <v>1048</v>
      </c>
      <c r="Q32" s="71">
        <v>1868</v>
      </c>
      <c r="R32" s="71">
        <v>125</v>
      </c>
      <c r="S32" s="71">
        <v>2</v>
      </c>
      <c r="T32" s="71">
        <v>4901</v>
      </c>
      <c r="U32" s="71">
        <v>1266</v>
      </c>
      <c r="V32" s="71">
        <v>431</v>
      </c>
      <c r="W32" s="71">
        <v>5224</v>
      </c>
      <c r="X32" s="71">
        <v>1114</v>
      </c>
      <c r="Y32" s="72">
        <f t="shared" si="2"/>
        <v>14931</v>
      </c>
      <c r="AA32" s="67" t="s">
        <v>119</v>
      </c>
      <c r="AB32" s="71">
        <v>212</v>
      </c>
      <c r="AC32" s="71">
        <v>703</v>
      </c>
      <c r="AD32" s="71">
        <v>5515</v>
      </c>
      <c r="AE32" s="71">
        <v>2341</v>
      </c>
      <c r="AF32" s="71">
        <v>370</v>
      </c>
      <c r="AG32" s="71">
        <v>115</v>
      </c>
      <c r="AH32" s="71">
        <v>43</v>
      </c>
      <c r="AI32" s="71">
        <v>15</v>
      </c>
      <c r="AJ32" s="72">
        <f t="shared" si="0"/>
        <v>9314</v>
      </c>
      <c r="AL32"/>
      <c r="AM32"/>
      <c r="AN32"/>
      <c r="AO32"/>
      <c r="AP32"/>
      <c r="AQ32"/>
      <c r="AR32"/>
      <c r="AS32"/>
      <c r="AT32"/>
      <c r="AU32"/>
    </row>
    <row r="33" spans="1:47" ht="15">
      <c r="A33" s="3" t="s">
        <v>117</v>
      </c>
      <c r="B33" s="4">
        <v>4215</v>
      </c>
      <c r="C33" s="4">
        <v>276</v>
      </c>
      <c r="D33" s="4">
        <v>25</v>
      </c>
      <c r="E33" s="4">
        <v>84</v>
      </c>
      <c r="F33" s="4">
        <v>200</v>
      </c>
      <c r="G33" s="4">
        <v>76</v>
      </c>
      <c r="H33" s="4">
        <v>25</v>
      </c>
      <c r="I33" s="4">
        <v>3</v>
      </c>
      <c r="J33" s="4">
        <v>65</v>
      </c>
      <c r="K33" s="4">
        <v>102</v>
      </c>
      <c r="L33" s="4">
        <v>98</v>
      </c>
      <c r="M33" s="4">
        <v>4213</v>
      </c>
      <c r="N33" s="4">
        <v>258</v>
      </c>
      <c r="O33" s="4">
        <v>39</v>
      </c>
      <c r="P33" s="4">
        <v>91</v>
      </c>
      <c r="Q33" s="4">
        <v>1541</v>
      </c>
      <c r="R33" s="4">
        <v>104</v>
      </c>
      <c r="S33" s="4">
        <v>0</v>
      </c>
      <c r="T33" s="4">
        <v>2570</v>
      </c>
      <c r="U33" s="4">
        <v>585</v>
      </c>
      <c r="V33" s="4">
        <v>271</v>
      </c>
      <c r="W33" s="4">
        <v>4569</v>
      </c>
      <c r="X33" s="4">
        <v>130</v>
      </c>
      <c r="Y33" s="6">
        <f t="shared" si="2"/>
        <v>9770</v>
      </c>
      <c r="AA33" s="7" t="s">
        <v>48</v>
      </c>
      <c r="AB33" s="5">
        <f>AB6+AB7+AB8+AB9+AB10+AB11+AB12+AB15+AB16+AB17+AB19+AB20+AB21+AB22+AB24+AB25+AB26+AB27+AB28+AB30+AB31+AB32</f>
        <v>51006</v>
      </c>
      <c r="AC33" s="5">
        <f aca="true" t="shared" si="4" ref="AC33:AJ33">AC6+AC7+AC8+AC9+AC10+AC11+AC12+AC15+AC16+AC17+AC19+AC20+AC21+AC22+AC24+AC25+AC26+AC27+AC28+AC30+AC31+AC32</f>
        <v>33861</v>
      </c>
      <c r="AD33" s="5">
        <f t="shared" si="4"/>
        <v>88957</v>
      </c>
      <c r="AE33" s="5">
        <f t="shared" si="4"/>
        <v>70163</v>
      </c>
      <c r="AF33" s="5">
        <f t="shared" si="4"/>
        <v>36097</v>
      </c>
      <c r="AG33" s="5">
        <f t="shared" si="4"/>
        <v>14455</v>
      </c>
      <c r="AH33" s="5">
        <f t="shared" si="4"/>
        <v>8763</v>
      </c>
      <c r="AI33" s="5">
        <f t="shared" si="4"/>
        <v>3693</v>
      </c>
      <c r="AJ33" s="5">
        <f t="shared" si="4"/>
        <v>306995</v>
      </c>
      <c r="AL33"/>
      <c r="AM33"/>
      <c r="AN33"/>
      <c r="AO33"/>
      <c r="AP33"/>
      <c r="AQ33"/>
      <c r="AR33"/>
      <c r="AS33"/>
      <c r="AT33"/>
      <c r="AU33"/>
    </row>
    <row r="34" spans="1:47" ht="15">
      <c r="A34" s="3" t="s">
        <v>118</v>
      </c>
      <c r="B34" s="4">
        <v>2681</v>
      </c>
      <c r="C34" s="4">
        <v>93</v>
      </c>
      <c r="D34" s="4">
        <v>32</v>
      </c>
      <c r="E34" s="4">
        <v>45</v>
      </c>
      <c r="F34" s="4">
        <v>511</v>
      </c>
      <c r="G34" s="4">
        <v>62</v>
      </c>
      <c r="H34" s="4">
        <v>3</v>
      </c>
      <c r="I34" s="4">
        <v>1</v>
      </c>
      <c r="J34" s="4">
        <v>14</v>
      </c>
      <c r="K34" s="4">
        <v>80</v>
      </c>
      <c r="L34" s="4">
        <v>25</v>
      </c>
      <c r="M34" s="4">
        <v>455</v>
      </c>
      <c r="N34" s="4">
        <v>175</v>
      </c>
      <c r="O34" s="4">
        <v>27</v>
      </c>
      <c r="P34" s="4">
        <v>957</v>
      </c>
      <c r="Q34" s="4">
        <v>327</v>
      </c>
      <c r="R34" s="4">
        <v>21</v>
      </c>
      <c r="S34" s="4">
        <v>2</v>
      </c>
      <c r="T34" s="4">
        <v>2331</v>
      </c>
      <c r="U34" s="4">
        <v>681</v>
      </c>
      <c r="V34" s="4">
        <v>160</v>
      </c>
      <c r="W34" s="4">
        <v>655</v>
      </c>
      <c r="X34" s="4">
        <v>984</v>
      </c>
      <c r="Y34" s="6">
        <f t="shared" si="2"/>
        <v>5161</v>
      </c>
      <c r="AA34" s="8" t="s">
        <v>159</v>
      </c>
      <c r="AB34" s="8"/>
      <c r="AC34"/>
      <c r="AD34" s="9"/>
      <c r="AE34" s="9"/>
      <c r="AF34" s="9"/>
      <c r="AG34" s="9"/>
      <c r="AH34" s="9"/>
      <c r="AI34" s="9"/>
      <c r="AJ34" s="10" t="s">
        <v>18</v>
      </c>
      <c r="AL34"/>
      <c r="AM34"/>
      <c r="AN34"/>
      <c r="AO34"/>
      <c r="AP34"/>
      <c r="AQ34"/>
      <c r="AR34"/>
      <c r="AS34"/>
      <c r="AT34"/>
      <c r="AU34"/>
    </row>
    <row r="35" spans="1:47" ht="15">
      <c r="A35" s="67" t="s">
        <v>119</v>
      </c>
      <c r="B35" s="71">
        <v>8515</v>
      </c>
      <c r="C35" s="71">
        <v>4</v>
      </c>
      <c r="D35" s="71">
        <v>11</v>
      </c>
      <c r="E35" s="71">
        <v>105</v>
      </c>
      <c r="F35" s="71">
        <v>208</v>
      </c>
      <c r="G35" s="71">
        <v>64</v>
      </c>
      <c r="H35" s="71">
        <v>12</v>
      </c>
      <c r="I35" s="71">
        <v>1</v>
      </c>
      <c r="J35" s="71">
        <v>118</v>
      </c>
      <c r="K35" s="71">
        <v>50</v>
      </c>
      <c r="L35" s="71">
        <v>27</v>
      </c>
      <c r="M35" s="71">
        <v>9</v>
      </c>
      <c r="N35" s="71">
        <v>25</v>
      </c>
      <c r="O35" s="71">
        <v>33</v>
      </c>
      <c r="P35" s="71">
        <v>132</v>
      </c>
      <c r="Q35" s="71">
        <v>2366</v>
      </c>
      <c r="R35" s="71">
        <v>125</v>
      </c>
      <c r="S35" s="71">
        <v>5</v>
      </c>
      <c r="T35" s="71">
        <v>6019</v>
      </c>
      <c r="U35" s="71">
        <v>328</v>
      </c>
      <c r="V35" s="71">
        <v>245</v>
      </c>
      <c r="W35" s="71">
        <v>61</v>
      </c>
      <c r="X35" s="71">
        <v>165</v>
      </c>
      <c r="Y35" s="72">
        <f t="shared" si="2"/>
        <v>9314</v>
      </c>
      <c r="AA35"/>
      <c r="AB35"/>
      <c r="AC35"/>
      <c r="AD35" s="9"/>
      <c r="AE35" s="9"/>
      <c r="AF35" s="9"/>
      <c r="AG35" s="9"/>
      <c r="AH35" s="9"/>
      <c r="AI35" s="9"/>
      <c r="AJ35" s="10" t="s">
        <v>31</v>
      </c>
      <c r="AL35"/>
      <c r="AM35"/>
      <c r="AN35"/>
      <c r="AO35"/>
      <c r="AP35"/>
      <c r="AQ35"/>
      <c r="AR35"/>
      <c r="AS35"/>
      <c r="AT35"/>
      <c r="AU35"/>
    </row>
    <row r="36" spans="1:47" ht="15">
      <c r="A36" s="7" t="s">
        <v>48</v>
      </c>
      <c r="B36" s="5">
        <f>B9+B10+B11+B12+B13+B14+B15+B18+B19+B20+B22+B23+B24+B25+B27+B28+B29+B30+B31+B33+B34+B35</f>
        <v>219216</v>
      </c>
      <c r="C36" s="5">
        <f aca="true" t="shared" si="5" ref="C36:X36">C9+C10+C11+C12+C13+C14+C15+C18+C19+C20+C22+C23+C24+C25+C27+C28+C29+C30+C31+C33+C34+C35</f>
        <v>4642</v>
      </c>
      <c r="D36" s="5">
        <f t="shared" si="5"/>
        <v>2034</v>
      </c>
      <c r="E36" s="5">
        <f t="shared" si="5"/>
        <v>3887</v>
      </c>
      <c r="F36" s="5">
        <f t="shared" si="5"/>
        <v>4678</v>
      </c>
      <c r="G36" s="5">
        <f t="shared" si="5"/>
        <v>8642</v>
      </c>
      <c r="H36" s="5">
        <f t="shared" si="5"/>
        <v>9718</v>
      </c>
      <c r="I36" s="5">
        <f t="shared" si="5"/>
        <v>1493</v>
      </c>
      <c r="J36" s="5">
        <f t="shared" si="5"/>
        <v>3715</v>
      </c>
      <c r="K36" s="5">
        <f t="shared" si="5"/>
        <v>9770</v>
      </c>
      <c r="L36" s="5">
        <f t="shared" si="5"/>
        <v>14818</v>
      </c>
      <c r="M36" s="5">
        <f t="shared" si="5"/>
        <v>12297</v>
      </c>
      <c r="N36" s="5">
        <f t="shared" si="5"/>
        <v>5641</v>
      </c>
      <c r="O36" s="5">
        <f t="shared" si="5"/>
        <v>2350</v>
      </c>
      <c r="P36" s="5">
        <f t="shared" si="5"/>
        <v>4094</v>
      </c>
      <c r="Q36" s="5">
        <f t="shared" si="5"/>
        <v>163739</v>
      </c>
      <c r="R36" s="5">
        <f t="shared" si="5"/>
        <v>7664</v>
      </c>
      <c r="S36" s="5">
        <f t="shared" si="5"/>
        <v>163</v>
      </c>
      <c r="T36" s="5">
        <f t="shared" si="5"/>
        <v>47650</v>
      </c>
      <c r="U36" s="5">
        <f t="shared" si="5"/>
        <v>15241</v>
      </c>
      <c r="V36" s="5">
        <f t="shared" si="5"/>
        <v>33338</v>
      </c>
      <c r="W36" s="5">
        <f t="shared" si="5"/>
        <v>32756</v>
      </c>
      <c r="X36" s="5">
        <f t="shared" si="5"/>
        <v>6444</v>
      </c>
      <c r="Y36" s="6">
        <f t="shared" si="2"/>
        <v>306995</v>
      </c>
      <c r="AA36"/>
      <c r="AB36"/>
      <c r="AC36"/>
      <c r="AD36"/>
      <c r="AE36"/>
      <c r="AF36"/>
      <c r="AG36"/>
      <c r="AH36"/>
      <c r="AI36"/>
      <c r="AJ36"/>
      <c r="AL36"/>
      <c r="AM36"/>
      <c r="AN36"/>
      <c r="AO36"/>
      <c r="AP36"/>
      <c r="AQ36"/>
      <c r="AR36"/>
      <c r="AS36"/>
      <c r="AT36"/>
      <c r="AU36"/>
    </row>
    <row r="37" spans="1:47" ht="15">
      <c r="A37" s="8" t="s">
        <v>166</v>
      </c>
      <c r="Y37" s="58" t="s">
        <v>18</v>
      </c>
      <c r="AA37"/>
      <c r="AB37"/>
      <c r="AC37"/>
      <c r="AD37"/>
      <c r="AE37"/>
      <c r="AF37"/>
      <c r="AG37"/>
      <c r="AH37"/>
      <c r="AI37"/>
      <c r="AJ37"/>
      <c r="AL37"/>
      <c r="AM37"/>
      <c r="AN37"/>
      <c r="AO37"/>
      <c r="AP37"/>
      <c r="AQ37"/>
      <c r="AR37"/>
      <c r="AS37"/>
      <c r="AT37"/>
      <c r="AU37"/>
    </row>
    <row r="38" spans="25:47" ht="15">
      <c r="Y38" s="58" t="s">
        <v>31</v>
      </c>
      <c r="AA38"/>
      <c r="AB38"/>
      <c r="AC38"/>
      <c r="AD38"/>
      <c r="AE38"/>
      <c r="AF38"/>
      <c r="AG38"/>
      <c r="AH38"/>
      <c r="AI38"/>
      <c r="AJ38"/>
      <c r="AL38"/>
      <c r="AM38"/>
      <c r="AN38"/>
      <c r="AO38"/>
      <c r="AP38"/>
      <c r="AQ38"/>
      <c r="AR38"/>
      <c r="AS38"/>
      <c r="AT38"/>
      <c r="AU38"/>
    </row>
    <row r="39" spans="1:47" ht="15.75">
      <c r="A39" s="56" t="s">
        <v>156</v>
      </c>
      <c r="AA39" s="1" t="s">
        <v>162</v>
      </c>
      <c r="AB39"/>
      <c r="AC39"/>
      <c r="AD39"/>
      <c r="AE39"/>
      <c r="AF39"/>
      <c r="AG39"/>
      <c r="AH39"/>
      <c r="AI39"/>
      <c r="AJ39"/>
      <c r="AL39"/>
      <c r="AM39"/>
      <c r="AN39"/>
      <c r="AO39"/>
      <c r="AP39"/>
      <c r="AQ39"/>
      <c r="AR39"/>
      <c r="AS39"/>
      <c r="AT39"/>
      <c r="AU39"/>
    </row>
    <row r="40" spans="1:47" ht="15.75">
      <c r="A40" s="17" t="s">
        <v>153</v>
      </c>
      <c r="B40" s="232" t="s">
        <v>155</v>
      </c>
      <c r="C40" s="250"/>
      <c r="D40" s="250"/>
      <c r="E40" s="250"/>
      <c r="F40" s="250"/>
      <c r="G40" s="250"/>
      <c r="H40" s="250"/>
      <c r="I40" s="250"/>
      <c r="J40" s="250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60"/>
      <c r="AA40" s="17" t="s">
        <v>158</v>
      </c>
      <c r="AB40" s="257" t="s">
        <v>28</v>
      </c>
      <c r="AC40" s="256"/>
      <c r="AD40" s="256"/>
      <c r="AE40" s="256"/>
      <c r="AF40" s="256"/>
      <c r="AG40" s="256"/>
      <c r="AH40" s="256"/>
      <c r="AI40" s="256"/>
      <c r="AJ40" s="256"/>
      <c r="AL40" s="1" t="s">
        <v>163</v>
      </c>
      <c r="AM40"/>
      <c r="AN40"/>
      <c r="AO40"/>
      <c r="AP40"/>
      <c r="AQ40"/>
      <c r="AR40"/>
      <c r="AS40"/>
      <c r="AT40"/>
      <c r="AU40"/>
    </row>
    <row r="41" spans="1:47" ht="15">
      <c r="A41" s="83"/>
      <c r="B41" s="298" t="s">
        <v>132</v>
      </c>
      <c r="C41" s="298" t="s">
        <v>136</v>
      </c>
      <c r="D41" s="298" t="s">
        <v>137</v>
      </c>
      <c r="E41" s="298" t="s">
        <v>138</v>
      </c>
      <c r="F41" s="298" t="s">
        <v>139</v>
      </c>
      <c r="G41" s="298" t="s">
        <v>140</v>
      </c>
      <c r="H41" s="298" t="s">
        <v>141</v>
      </c>
      <c r="I41" s="298" t="s">
        <v>142</v>
      </c>
      <c r="J41" s="298" t="s">
        <v>143</v>
      </c>
      <c r="K41" s="298" t="s">
        <v>144</v>
      </c>
      <c r="L41" s="298" t="s">
        <v>145</v>
      </c>
      <c r="M41" s="298" t="s">
        <v>146</v>
      </c>
      <c r="N41" s="298" t="s">
        <v>147</v>
      </c>
      <c r="O41" s="298" t="s">
        <v>148</v>
      </c>
      <c r="P41" s="298" t="s">
        <v>149</v>
      </c>
      <c r="Q41" s="298" t="s">
        <v>91</v>
      </c>
      <c r="R41" s="298" t="s">
        <v>93</v>
      </c>
      <c r="S41" s="298" t="s">
        <v>150</v>
      </c>
      <c r="T41" s="298" t="s">
        <v>151</v>
      </c>
      <c r="U41" s="298" t="s">
        <v>152</v>
      </c>
      <c r="V41" s="298" t="s">
        <v>133</v>
      </c>
      <c r="W41" s="298" t="s">
        <v>134</v>
      </c>
      <c r="X41" s="300" t="s">
        <v>135</v>
      </c>
      <c r="Y41" s="275" t="s">
        <v>48</v>
      </c>
      <c r="AA41" s="18"/>
      <c r="AB41" s="15" t="s">
        <v>97</v>
      </c>
      <c r="AC41" s="2" t="s">
        <v>22</v>
      </c>
      <c r="AD41" s="2" t="s">
        <v>23</v>
      </c>
      <c r="AE41" s="2" t="s">
        <v>24</v>
      </c>
      <c r="AF41" s="2" t="s">
        <v>25</v>
      </c>
      <c r="AG41" s="2" t="s">
        <v>26</v>
      </c>
      <c r="AH41" s="2" t="s">
        <v>27</v>
      </c>
      <c r="AI41" s="2" t="s">
        <v>29</v>
      </c>
      <c r="AJ41" s="2" t="s">
        <v>48</v>
      </c>
      <c r="AL41" s="17" t="s">
        <v>158</v>
      </c>
      <c r="AM41" s="94"/>
      <c r="AN41" s="263" t="s">
        <v>28</v>
      </c>
      <c r="AO41" s="264"/>
      <c r="AP41" s="264"/>
      <c r="AQ41" s="264"/>
      <c r="AR41" s="264"/>
      <c r="AS41" s="264"/>
      <c r="AT41" s="54"/>
      <c r="AU41" s="90"/>
    </row>
    <row r="42" spans="1:47" ht="15">
      <c r="A42" s="84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301"/>
      <c r="Y42" s="302"/>
      <c r="AA42" s="82" t="s">
        <v>98</v>
      </c>
      <c r="AB42" s="76">
        <f>(AB4/AJ4)*100</f>
        <v>20.067572678449864</v>
      </c>
      <c r="AC42" s="76">
        <f>(AC4/AJ4)*100</f>
        <v>11.605859660623787</v>
      </c>
      <c r="AD42" s="76">
        <f>(AD4/AJ4)*100</f>
        <v>27.920795407747324</v>
      </c>
      <c r="AE42" s="76">
        <f>(AE4/AJ4)*100</f>
        <v>21.532908062496322</v>
      </c>
      <c r="AF42" s="76">
        <f>(AF4/AJ4)*100</f>
        <v>10.754897758503315</v>
      </c>
      <c r="AG42" s="76">
        <f>(AG4/AJ4)*100</f>
        <v>4.155215450946774</v>
      </c>
      <c r="AH42" s="76">
        <f>(AH4/AJ4)*100</f>
        <v>2.65836295941437</v>
      </c>
      <c r="AI42" s="76">
        <f>(AI4/AJ4)*100</f>
        <v>1.3043880218182429</v>
      </c>
      <c r="AJ42" s="79">
        <f>AI42+AH42+AG42+AF42+AE42+AD42+AC42+AB42</f>
        <v>100</v>
      </c>
      <c r="AL42" s="18"/>
      <c r="AM42" s="92" t="s">
        <v>33</v>
      </c>
      <c r="AN42" s="92" t="s">
        <v>97</v>
      </c>
      <c r="AO42" s="91" t="s">
        <v>22</v>
      </c>
      <c r="AP42" s="91" t="s">
        <v>23</v>
      </c>
      <c r="AQ42" s="91" t="s">
        <v>24</v>
      </c>
      <c r="AR42" s="91" t="s">
        <v>25</v>
      </c>
      <c r="AS42" s="93" t="s">
        <v>59</v>
      </c>
      <c r="AT42" s="93" t="s">
        <v>160</v>
      </c>
      <c r="AU42" s="91" t="s">
        <v>48</v>
      </c>
    </row>
    <row r="43" spans="1:47" ht="15">
      <c r="A43" s="84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301"/>
      <c r="Y43" s="302"/>
      <c r="AA43" s="68" t="s">
        <v>124</v>
      </c>
      <c r="AB43" s="77">
        <f aca="true" t="shared" si="6" ref="AB43:AB71">(AB5/AJ5)*100</f>
        <v>22.522200159256535</v>
      </c>
      <c r="AC43" s="77">
        <f aca="true" t="shared" si="7" ref="AC43:AC71">(AC5/AJ5)*100</f>
        <v>11.958351392486719</v>
      </c>
      <c r="AD43" s="77">
        <f aca="true" t="shared" si="8" ref="AD43:AD71">(AD5/AJ5)*100</f>
        <v>25.708842769450968</v>
      </c>
      <c r="AE43" s="77">
        <f aca="true" t="shared" si="9" ref="AE43:AE71">(AE5/AJ5)*100</f>
        <v>20.8318634022437</v>
      </c>
      <c r="AF43" s="77">
        <f aca="true" t="shared" si="10" ref="AF43:AF71">(AF5/AJ5)*100</f>
        <v>11.14342159639556</v>
      </c>
      <c r="AG43" s="77">
        <f aca="true" t="shared" si="11" ref="AG43:AG71">(AG5/AJ5)*100</f>
        <v>4.007620122768644</v>
      </c>
      <c r="AH43" s="77">
        <f aca="true" t="shared" si="12" ref="AH43:AH71">(AH5/AJ5)*100</f>
        <v>2.512826198707805</v>
      </c>
      <c r="AI43" s="77">
        <f aca="true" t="shared" si="13" ref="AI43:AI71">(AI5/AJ5)*100</f>
        <v>1.3148743586900646</v>
      </c>
      <c r="AJ43" s="80">
        <f aca="true" t="shared" si="14" ref="AJ43:AJ71">AI43+AH43+AG43+AF43+AE43+AD43+AC43+AB43</f>
        <v>100</v>
      </c>
      <c r="AL43" s="82" t="s">
        <v>98</v>
      </c>
      <c r="AM43" s="76">
        <f aca="true" t="shared" si="15" ref="AM43:AM66">(AM4/AU4)*100</f>
        <v>83.38250002101141</v>
      </c>
      <c r="AN43" s="76">
        <f aca="true" t="shared" si="16" ref="AN43:AN66">(AN4/AU4)*100</f>
        <v>3.1823873998806556</v>
      </c>
      <c r="AO43" s="76">
        <f aca="true" t="shared" si="17" ref="AO43:AO66">(AO4/AU4)*100</f>
        <v>6.48538026440752</v>
      </c>
      <c r="AP43" s="76">
        <f aca="true" t="shared" si="18" ref="AP43:AP66">(AP4/AU4)*100</f>
        <v>5.399931082591631</v>
      </c>
      <c r="AQ43" s="76">
        <f aca="true" t="shared" si="19" ref="AQ43:AQ66">(AQ4/AU4)*100</f>
        <v>1.262365211836985</v>
      </c>
      <c r="AR43" s="76">
        <f aca="true" t="shared" si="20" ref="AR43:AR66">(AR4/AU4)*100</f>
        <v>0.2189388400023533</v>
      </c>
      <c r="AS43" s="76">
        <f aca="true" t="shared" si="21" ref="AS43:AS66">(AS4/AU4)*100</f>
        <v>0.06849718026945026</v>
      </c>
      <c r="AT43" s="76">
        <f aca="true" t="shared" si="22" ref="AT43:AT66">(AT4/AU4)*100</f>
        <v>16.617499978988594</v>
      </c>
      <c r="AU43" s="79">
        <f>AS43+AR43+AQ43+AP43+AO43+AN43+AM43</f>
        <v>100</v>
      </c>
    </row>
    <row r="44" spans="1:47" ht="15">
      <c r="A44" s="85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301"/>
      <c r="Y44" s="303"/>
      <c r="AA44" s="3" t="s">
        <v>125</v>
      </c>
      <c r="AB44" s="62">
        <f t="shared" si="6"/>
        <v>23.75028684565836</v>
      </c>
      <c r="AC44" s="62">
        <f t="shared" si="7"/>
        <v>12.230565206021891</v>
      </c>
      <c r="AD44" s="62">
        <f t="shared" si="8"/>
        <v>25.197589962803455</v>
      </c>
      <c r="AE44" s="62">
        <f t="shared" si="9"/>
        <v>20.327884599990394</v>
      </c>
      <c r="AF44" s="62">
        <f t="shared" si="10"/>
        <v>10.82915739421399</v>
      </c>
      <c r="AG44" s="62">
        <f t="shared" si="11"/>
        <v>3.885090963427846</v>
      </c>
      <c r="AH44" s="62">
        <f t="shared" si="12"/>
        <v>2.4868851496667252</v>
      </c>
      <c r="AI44" s="62">
        <f t="shared" si="13"/>
        <v>1.292539878217341</v>
      </c>
      <c r="AJ44" s="63">
        <f t="shared" si="14"/>
        <v>100</v>
      </c>
      <c r="AL44" s="68" t="s">
        <v>99</v>
      </c>
      <c r="AM44" s="77">
        <f t="shared" si="15"/>
        <v>100</v>
      </c>
      <c r="AN44" s="77">
        <f t="shared" si="16"/>
        <v>0</v>
      </c>
      <c r="AO44" s="77">
        <f t="shared" si="17"/>
        <v>0</v>
      </c>
      <c r="AP44" s="77">
        <f t="shared" si="18"/>
        <v>0</v>
      </c>
      <c r="AQ44" s="77">
        <f t="shared" si="19"/>
        <v>0</v>
      </c>
      <c r="AR44" s="77">
        <f t="shared" si="20"/>
        <v>0</v>
      </c>
      <c r="AS44" s="77">
        <f t="shared" si="21"/>
        <v>0</v>
      </c>
      <c r="AT44" s="77">
        <f t="shared" si="22"/>
        <v>0</v>
      </c>
      <c r="AU44" s="80">
        <f aca="true" t="shared" si="23" ref="AU44:AU66">AS44+AR44+AQ44+AP44+AO44+AN44+AM44</f>
        <v>100</v>
      </c>
    </row>
    <row r="45" spans="1:47" ht="15">
      <c r="A45" s="67" t="s">
        <v>98</v>
      </c>
      <c r="B45" s="76">
        <f>(B7/Y7)*100</f>
        <v>81.26791222275452</v>
      </c>
      <c r="C45" s="76">
        <f>(C7/Y7)*100</f>
        <v>1.7830278275047695</v>
      </c>
      <c r="D45" s="76">
        <f>(D7/Y7)*100</f>
        <v>0.6358051150164309</v>
      </c>
      <c r="E45" s="76">
        <f>(E7/Y7)*100</f>
        <v>1.2989250565206794</v>
      </c>
      <c r="F45" s="76">
        <f>(F7/Y7)*100</f>
        <v>1.3506131127976266</v>
      </c>
      <c r="G45" s="76">
        <f>(G7/Y7)*100</f>
        <v>1.393056150878697</v>
      </c>
      <c r="H45" s="76">
        <f>(H7/Y7)*100</f>
        <v>1.6796517149508754</v>
      </c>
      <c r="I45" s="76">
        <f>(I7/Y7)*100</f>
        <v>0.30760696906280727</v>
      </c>
      <c r="J45" s="76">
        <f>(J7/Y7)*100</f>
        <v>0.4727566122891506</v>
      </c>
      <c r="K45" s="76">
        <f>(K7/Y7)*100</f>
        <v>1.1035189901078304</v>
      </c>
      <c r="L45" s="76">
        <f>(L7/Y7)*100</f>
        <v>2.7571165628703262</v>
      </c>
      <c r="M45" s="76">
        <f>(M7/Y7)*100</f>
        <v>3.160115310590589</v>
      </c>
      <c r="N45" s="76">
        <f>(N7/Y7)*100</f>
        <v>1.7897514771017708</v>
      </c>
      <c r="O45" s="76">
        <f>(O7/Y7)*100</f>
        <v>0.36854004353563113</v>
      </c>
      <c r="P45" s="76">
        <f>(P7/Y7)*100</f>
        <v>0.6316028340183052</v>
      </c>
      <c r="Q45" s="76">
        <f>(Q7/Y7)*100</f>
        <v>64.90843229705085</v>
      </c>
      <c r="R45" s="76">
        <f>(R7/Y7)*100</f>
        <v>3.03152551204794</v>
      </c>
      <c r="S45" s="76">
        <f>(S7/Y7)*100</f>
        <v>0.0638746711715119</v>
      </c>
      <c r="T45" s="76">
        <f>(T7/Y7)*100</f>
        <v>13.264079742484219</v>
      </c>
      <c r="U45" s="76">
        <f>(U7/Y7)*100</f>
        <v>5.0683711118395065</v>
      </c>
      <c r="V45" s="76">
        <f>(V7/Y7)*100</f>
        <v>4.9565904372893606</v>
      </c>
      <c r="W45" s="76">
        <f>(W7/Y7)*100</f>
        <v>7.706983350562685</v>
      </c>
      <c r="X45" s="76">
        <f>(X7/Y7)*100</f>
        <v>1.0001428775539363</v>
      </c>
      <c r="Y45" s="87">
        <f>B45+C45+D45+E45+F45+G45+H45+I45+J45+K45+L45+M45+N45+O45+P45</f>
        <v>99.99999999999999</v>
      </c>
      <c r="AA45" s="3" t="s">
        <v>126</v>
      </c>
      <c r="AB45" s="62">
        <f t="shared" si="6"/>
        <v>0.9307135470527405</v>
      </c>
      <c r="AC45" s="62">
        <f t="shared" si="7"/>
        <v>5.791106514994829</v>
      </c>
      <c r="AD45" s="62">
        <f t="shared" si="8"/>
        <v>36.40124095139607</v>
      </c>
      <c r="AE45" s="62">
        <f t="shared" si="9"/>
        <v>27.76628748707342</v>
      </c>
      <c r="AF45" s="62">
        <f t="shared" si="10"/>
        <v>15.92554291623578</v>
      </c>
      <c r="AG45" s="62">
        <f t="shared" si="11"/>
        <v>7.18717683557394</v>
      </c>
      <c r="AH45" s="62">
        <f t="shared" si="12"/>
        <v>3.9296794208893484</v>
      </c>
      <c r="AI45" s="62">
        <f t="shared" si="13"/>
        <v>2.0682523267838677</v>
      </c>
      <c r="AJ45" s="63">
        <f t="shared" si="14"/>
        <v>99.99999999999999</v>
      </c>
      <c r="AL45" s="68" t="s">
        <v>100</v>
      </c>
      <c r="AM45" s="77">
        <f t="shared" si="15"/>
        <v>0</v>
      </c>
      <c r="AN45" s="77">
        <f t="shared" si="16"/>
        <v>16.62342155336447</v>
      </c>
      <c r="AO45" s="77">
        <f t="shared" si="17"/>
        <v>49.2302369832209</v>
      </c>
      <c r="AP45" s="77">
        <f t="shared" si="18"/>
        <v>28.00553537450268</v>
      </c>
      <c r="AQ45" s="77">
        <f t="shared" si="19"/>
        <v>4.220723058294413</v>
      </c>
      <c r="AR45" s="77">
        <f t="shared" si="20"/>
        <v>1.3319494897076631</v>
      </c>
      <c r="AS45" s="77">
        <f t="shared" si="21"/>
        <v>0.5881335409098772</v>
      </c>
      <c r="AT45" s="77">
        <f t="shared" si="22"/>
        <v>100</v>
      </c>
      <c r="AU45" s="80">
        <f t="shared" si="23"/>
        <v>100</v>
      </c>
    </row>
    <row r="46" spans="1:47" ht="15">
      <c r="A46" s="68" t="s">
        <v>124</v>
      </c>
      <c r="B46" s="77">
        <f aca="true" t="shared" si="24" ref="B46:B74">(B8/Y8)*100</f>
        <v>79.46044289443711</v>
      </c>
      <c r="C46" s="77">
        <f aca="true" t="shared" si="25" ref="C46:C74">(C8/Y8)*100</f>
        <v>2.0955337613772667</v>
      </c>
      <c r="D46" s="77">
        <f aca="true" t="shared" si="26" ref="D46:D74">(D8/Y8)*100</f>
        <v>0.6758323169809799</v>
      </c>
      <c r="E46" s="77">
        <f aca="true" t="shared" si="27" ref="E46:E74">(E8/Y8)*100</f>
        <v>1.433308806483152</v>
      </c>
      <c r="F46" s="77">
        <f aca="true" t="shared" si="28" ref="F46:F74">(F8/Y8)*100</f>
        <v>1.4378445938454405</v>
      </c>
      <c r="G46" s="77">
        <f aca="true" t="shared" si="29" ref="G46:G74">(G8/Y8)*100</f>
        <v>1.627843686687968</v>
      </c>
      <c r="H46" s="77">
        <f aca="true" t="shared" si="30" ref="H46:H74">(H8/Y8)*100</f>
        <v>1.6233078993256798</v>
      </c>
      <c r="I46" s="77">
        <f aca="true" t="shared" si="31" ref="I46:I74">(I8/Y8)*100</f>
        <v>0.36034310711513845</v>
      </c>
      <c r="J46" s="77">
        <f aca="true" t="shared" si="32" ref="J46:J74">(J8/Y8)*100</f>
        <v>0.52211952303676</v>
      </c>
      <c r="K46" s="77">
        <f aca="true" t="shared" si="33" ref="K46:K74">(K8/Y8)*100</f>
        <v>1.1994637691385028</v>
      </c>
      <c r="L46" s="77">
        <f aca="true" t="shared" si="34" ref="L46:L74">(L8/Y8)*100</f>
        <v>2.962373123947949</v>
      </c>
      <c r="M46" s="77">
        <f aca="true" t="shared" si="35" ref="M46:M74">(M8/Y8)*100</f>
        <v>3.709770085978369</v>
      </c>
      <c r="N46" s="77">
        <f aca="true" t="shared" si="36" ref="N46:N74">(N8/Y8)*100</f>
        <v>2.015401517976837</v>
      </c>
      <c r="O46" s="77">
        <f aca="true" t="shared" si="37" ref="O46:O74">(O8/Y8)*100</f>
        <v>0.37042263458689056</v>
      </c>
      <c r="P46" s="77">
        <f aca="true" t="shared" si="38" ref="P46:P74">(P8/Y8)*100</f>
        <v>0.5059922790819567</v>
      </c>
      <c r="Q46" s="77">
        <f aca="true" t="shared" si="39" ref="Q46:Q74">(Q8/Y8)*100</f>
        <v>75.72295410791142</v>
      </c>
      <c r="R46" s="77">
        <f aca="true" t="shared" si="40" ref="R46:R74">(R8/Y8)*100</f>
        <v>1.091612825190755</v>
      </c>
      <c r="S46" s="77">
        <f aca="true" t="shared" si="41" ref="S46:S74">(S8/Y8)*100</f>
        <v>0.056445353841811895</v>
      </c>
      <c r="T46" s="77">
        <f aca="true" t="shared" si="42" ref="T46:T74">(T8/Y8)*100</f>
        <v>2.589430607493121</v>
      </c>
      <c r="U46" s="77">
        <f aca="true" t="shared" si="43" ref="U46:U74">(U8/Y8)*100</f>
        <v>5.64251947868684</v>
      </c>
      <c r="V46" s="77">
        <f aca="true" t="shared" si="44" ref="V46:V74">(V8/Y8)*100</f>
        <v>5.333077985304048</v>
      </c>
      <c r="W46" s="77">
        <f aca="true" t="shared" si="45" ref="W46:W74">(W8/Y8)*100</f>
        <v>8.687544727903155</v>
      </c>
      <c r="X46" s="77">
        <f aca="true" t="shared" si="46" ref="X46:X74">(X8/Y8)*100</f>
        <v>0.8764149136688472</v>
      </c>
      <c r="Y46" s="88">
        <f aca="true" t="shared" si="47" ref="Y46:Y74">B46+C46+D46+E46+F46+G46+H46+I46+J46+K46+L46+M46+N46+O46+P46</f>
        <v>100.00000000000001</v>
      </c>
      <c r="AA46" s="3" t="s">
        <v>127</v>
      </c>
      <c r="AB46" s="62">
        <f t="shared" si="6"/>
        <v>1.7155110793423873</v>
      </c>
      <c r="AC46" s="62">
        <f t="shared" si="7"/>
        <v>6.987133666904932</v>
      </c>
      <c r="AD46" s="62">
        <f t="shared" si="8"/>
        <v>32.21944245889921</v>
      </c>
      <c r="AE46" s="62">
        <f t="shared" si="9"/>
        <v>30.62902072909221</v>
      </c>
      <c r="AF46" s="62">
        <f t="shared" si="10"/>
        <v>18.63831308077198</v>
      </c>
      <c r="AG46" s="62">
        <f t="shared" si="11"/>
        <v>5.9328091493924235</v>
      </c>
      <c r="AH46" s="62">
        <f t="shared" si="12"/>
        <v>2.6090064331665475</v>
      </c>
      <c r="AI46" s="62">
        <f t="shared" si="13"/>
        <v>1.2687634024303074</v>
      </c>
      <c r="AJ46" s="63">
        <f t="shared" si="14"/>
        <v>100</v>
      </c>
      <c r="AL46" s="68" t="s">
        <v>101</v>
      </c>
      <c r="AM46" s="77">
        <f t="shared" si="15"/>
        <v>0</v>
      </c>
      <c r="AN46" s="77">
        <f t="shared" si="16"/>
        <v>19.583567810917277</v>
      </c>
      <c r="AO46" s="77">
        <f t="shared" si="17"/>
        <v>37.28045493587655</v>
      </c>
      <c r="AP46" s="77">
        <f t="shared" si="18"/>
        <v>33.26422415069751</v>
      </c>
      <c r="AQ46" s="77">
        <f t="shared" si="19"/>
        <v>8.174629031780352</v>
      </c>
      <c r="AR46" s="77">
        <f t="shared" si="20"/>
        <v>1.3150490181559695</v>
      </c>
      <c r="AS46" s="77">
        <f t="shared" si="21"/>
        <v>0.38207505257234253</v>
      </c>
      <c r="AT46" s="77">
        <f t="shared" si="22"/>
        <v>100</v>
      </c>
      <c r="AU46" s="80">
        <f t="shared" si="23"/>
        <v>99.99999999999999</v>
      </c>
    </row>
    <row r="47" spans="1:47" ht="15">
      <c r="A47" s="3" t="s">
        <v>125</v>
      </c>
      <c r="B47" s="62">
        <f t="shared" si="24"/>
        <v>78.54287742217811</v>
      </c>
      <c r="C47" s="62">
        <f t="shared" si="25"/>
        <v>2.1960369937507673</v>
      </c>
      <c r="D47" s="62">
        <f t="shared" si="26"/>
        <v>0.6996365732216904</v>
      </c>
      <c r="E47" s="62">
        <f t="shared" si="27"/>
        <v>1.4857270937064728</v>
      </c>
      <c r="F47" s="62">
        <f t="shared" si="28"/>
        <v>1.486260760047603</v>
      </c>
      <c r="G47" s="62">
        <f t="shared" si="29"/>
        <v>1.6970589647940313</v>
      </c>
      <c r="H47" s="62">
        <f t="shared" si="30"/>
        <v>1.6837173062657764</v>
      </c>
      <c r="I47" s="62">
        <f t="shared" si="31"/>
        <v>0.3773021031790504</v>
      </c>
      <c r="J47" s="62">
        <f t="shared" si="32"/>
        <v>0.5208583489430738</v>
      </c>
      <c r="K47" s="62">
        <f t="shared" si="33"/>
        <v>1.2583852323850082</v>
      </c>
      <c r="L47" s="62">
        <f t="shared" si="34"/>
        <v>3.112342101471318</v>
      </c>
      <c r="M47" s="62">
        <f t="shared" si="35"/>
        <v>3.9117742804843556</v>
      </c>
      <c r="N47" s="62">
        <f t="shared" si="36"/>
        <v>2.1165207089223674</v>
      </c>
      <c r="O47" s="62">
        <f t="shared" si="37"/>
        <v>0.38317243293148256</v>
      </c>
      <c r="P47" s="62">
        <f t="shared" si="38"/>
        <v>0.5283296777188966</v>
      </c>
      <c r="Q47" s="62">
        <f t="shared" si="39"/>
        <v>74.86111333472087</v>
      </c>
      <c r="R47" s="62">
        <f t="shared" si="40"/>
        <v>0.9259111018608944</v>
      </c>
      <c r="S47" s="62">
        <f t="shared" si="41"/>
        <v>0.05550129947754065</v>
      </c>
      <c r="T47" s="62">
        <f t="shared" si="42"/>
        <v>2.700351686118805</v>
      </c>
      <c r="U47" s="62">
        <f t="shared" si="43"/>
        <v>5.867661420726533</v>
      </c>
      <c r="V47" s="62">
        <f t="shared" si="44"/>
        <v>5.537321955566941</v>
      </c>
      <c r="W47" s="62">
        <f t="shared" si="45"/>
        <v>9.140637090878041</v>
      </c>
      <c r="X47" s="62">
        <f t="shared" si="46"/>
        <v>0.9115021106503791</v>
      </c>
      <c r="Y47" s="64">
        <f t="shared" si="47"/>
        <v>100</v>
      </c>
      <c r="AA47" s="3" t="s">
        <v>128</v>
      </c>
      <c r="AB47" s="62">
        <f t="shared" si="6"/>
        <v>1.3399359161083602</v>
      </c>
      <c r="AC47" s="62">
        <f t="shared" si="7"/>
        <v>8.884357704631519</v>
      </c>
      <c r="AD47" s="62">
        <f t="shared" si="8"/>
        <v>37.16865715117972</v>
      </c>
      <c r="AE47" s="62">
        <f t="shared" si="9"/>
        <v>28.313428488202735</v>
      </c>
      <c r="AF47" s="62">
        <f t="shared" si="10"/>
        <v>13.311972036120013</v>
      </c>
      <c r="AG47" s="62">
        <f t="shared" si="11"/>
        <v>5.796679289251384</v>
      </c>
      <c r="AH47" s="62">
        <f t="shared" si="12"/>
        <v>2.9711622487620155</v>
      </c>
      <c r="AI47" s="62">
        <f t="shared" si="13"/>
        <v>2.213807165744247</v>
      </c>
      <c r="AJ47" s="63">
        <f t="shared" si="14"/>
        <v>100.00000000000001</v>
      </c>
      <c r="AL47" s="73" t="s">
        <v>102</v>
      </c>
      <c r="AM47" s="78">
        <f t="shared" si="15"/>
        <v>0</v>
      </c>
      <c r="AN47" s="78">
        <f t="shared" si="16"/>
        <v>19.687553065036507</v>
      </c>
      <c r="AO47" s="78">
        <f t="shared" si="17"/>
        <v>37.32382407879097</v>
      </c>
      <c r="AP47" s="78">
        <f t="shared" si="18"/>
        <v>33.35371030735269</v>
      </c>
      <c r="AQ47" s="78">
        <f t="shared" si="19"/>
        <v>7.994566140261504</v>
      </c>
      <c r="AR47" s="78">
        <f t="shared" si="20"/>
        <v>1.253183902190525</v>
      </c>
      <c r="AS47" s="78">
        <f t="shared" si="21"/>
        <v>0.38716250636780436</v>
      </c>
      <c r="AT47" s="78">
        <f t="shared" si="22"/>
        <v>100</v>
      </c>
      <c r="AU47" s="81">
        <f t="shared" si="23"/>
        <v>100.00000000000001</v>
      </c>
    </row>
    <row r="48" spans="1:47" ht="15">
      <c r="A48" s="3" t="s">
        <v>126</v>
      </c>
      <c r="B48" s="62">
        <f t="shared" si="24"/>
        <v>96.48397104446742</v>
      </c>
      <c r="C48" s="62">
        <f t="shared" si="25"/>
        <v>0.5170630816959669</v>
      </c>
      <c r="D48" s="62">
        <f t="shared" si="26"/>
        <v>0.1034126163391934</v>
      </c>
      <c r="E48" s="62">
        <f t="shared" si="27"/>
        <v>0.25853154084798347</v>
      </c>
      <c r="F48" s="62">
        <f t="shared" si="28"/>
        <v>0.3619441571871768</v>
      </c>
      <c r="G48" s="62">
        <f t="shared" si="29"/>
        <v>0.4653567735263702</v>
      </c>
      <c r="H48" s="62">
        <f t="shared" si="30"/>
        <v>0.0517063081695967</v>
      </c>
      <c r="I48" s="62">
        <f t="shared" si="31"/>
        <v>0</v>
      </c>
      <c r="J48" s="62">
        <f t="shared" si="32"/>
        <v>0.4653567735263702</v>
      </c>
      <c r="K48" s="62">
        <f t="shared" si="33"/>
        <v>0.25853154084798347</v>
      </c>
      <c r="L48" s="62">
        <f t="shared" si="34"/>
        <v>0.5170630816959669</v>
      </c>
      <c r="M48" s="62">
        <f t="shared" si="35"/>
        <v>0.25853154084798347</v>
      </c>
      <c r="N48" s="62">
        <f t="shared" si="36"/>
        <v>0.0517063081695967</v>
      </c>
      <c r="O48" s="62">
        <f t="shared" si="37"/>
        <v>0.1034126163391934</v>
      </c>
      <c r="P48" s="62">
        <f t="shared" si="38"/>
        <v>0.1034126163391934</v>
      </c>
      <c r="Q48" s="62">
        <f t="shared" si="39"/>
        <v>76.31851085832471</v>
      </c>
      <c r="R48" s="62">
        <f t="shared" si="40"/>
        <v>19.441571871768357</v>
      </c>
      <c r="S48" s="62">
        <f t="shared" si="41"/>
        <v>0.15511892450879006</v>
      </c>
      <c r="T48" s="62">
        <f t="shared" si="42"/>
        <v>0.5687693898655636</v>
      </c>
      <c r="U48" s="62">
        <f t="shared" si="43"/>
        <v>1.2409513960703205</v>
      </c>
      <c r="V48" s="62">
        <f t="shared" si="44"/>
        <v>1.2409513960703205</v>
      </c>
      <c r="W48" s="62">
        <f t="shared" si="45"/>
        <v>0.8273009307135472</v>
      </c>
      <c r="X48" s="62">
        <f t="shared" si="46"/>
        <v>0.2068252326783868</v>
      </c>
      <c r="Y48" s="64">
        <f t="shared" si="47"/>
        <v>100.00000000000001</v>
      </c>
      <c r="AA48" s="3" t="s">
        <v>129</v>
      </c>
      <c r="AB48" s="62">
        <f t="shared" si="6"/>
        <v>7.142857142857142</v>
      </c>
      <c r="AC48" s="62">
        <f t="shared" si="7"/>
        <v>0</v>
      </c>
      <c r="AD48" s="62">
        <f t="shared" si="8"/>
        <v>7.142857142857142</v>
      </c>
      <c r="AE48" s="62">
        <f t="shared" si="9"/>
        <v>21.428571428571427</v>
      </c>
      <c r="AF48" s="62">
        <f t="shared" si="10"/>
        <v>42.857142857142854</v>
      </c>
      <c r="AG48" s="62">
        <f t="shared" si="11"/>
        <v>14.285714285714285</v>
      </c>
      <c r="AH48" s="62">
        <f t="shared" si="12"/>
        <v>7.142857142857142</v>
      </c>
      <c r="AI48" s="62">
        <f t="shared" si="13"/>
        <v>0</v>
      </c>
      <c r="AJ48" s="63">
        <f t="shared" si="14"/>
        <v>99.99999999999999</v>
      </c>
      <c r="AL48" s="3" t="s">
        <v>103</v>
      </c>
      <c r="AM48" s="62">
        <f t="shared" si="15"/>
        <v>0</v>
      </c>
      <c r="AN48" s="62">
        <f t="shared" si="16"/>
        <v>26.022811099131815</v>
      </c>
      <c r="AO48" s="62">
        <f t="shared" si="17"/>
        <v>32.6448391306815</v>
      </c>
      <c r="AP48" s="62">
        <f t="shared" si="18"/>
        <v>31.901492367928274</v>
      </c>
      <c r="AQ48" s="62">
        <f t="shared" si="19"/>
        <v>7.972535890597515</v>
      </c>
      <c r="AR48" s="62">
        <f t="shared" si="20"/>
        <v>1.038415706746865</v>
      </c>
      <c r="AS48" s="62">
        <f t="shared" si="21"/>
        <v>0.41990580491403284</v>
      </c>
      <c r="AT48" s="62">
        <f t="shared" si="22"/>
        <v>100</v>
      </c>
      <c r="AU48" s="63">
        <f t="shared" si="23"/>
        <v>100</v>
      </c>
    </row>
    <row r="49" spans="1:47" ht="15">
      <c r="A49" s="3" t="s">
        <v>127</v>
      </c>
      <c r="B49" s="62">
        <f t="shared" si="24"/>
        <v>95.42530378842031</v>
      </c>
      <c r="C49" s="62">
        <f t="shared" si="25"/>
        <v>0.19656897784131522</v>
      </c>
      <c r="D49" s="62">
        <f t="shared" si="26"/>
        <v>0.16082916368834882</v>
      </c>
      <c r="E49" s="62">
        <f t="shared" si="27"/>
        <v>0.6433166547533953</v>
      </c>
      <c r="F49" s="62">
        <f t="shared" si="28"/>
        <v>0.5897069335239457</v>
      </c>
      <c r="G49" s="62">
        <f t="shared" si="29"/>
        <v>0.41100786275911366</v>
      </c>
      <c r="H49" s="62">
        <f t="shared" si="30"/>
        <v>0.8398856325947106</v>
      </c>
      <c r="I49" s="62">
        <f t="shared" si="31"/>
        <v>0.017869907076483203</v>
      </c>
      <c r="J49" s="62">
        <f t="shared" si="32"/>
        <v>0.5003573981415297</v>
      </c>
      <c r="K49" s="62">
        <f t="shared" si="33"/>
        <v>0.16082916368834882</v>
      </c>
      <c r="L49" s="62">
        <f t="shared" si="34"/>
        <v>0.41100786275911366</v>
      </c>
      <c r="M49" s="62">
        <f t="shared" si="35"/>
        <v>0.12508934953538242</v>
      </c>
      <c r="N49" s="62">
        <f t="shared" si="36"/>
        <v>0.30378842030021447</v>
      </c>
      <c r="O49" s="62">
        <f t="shared" si="37"/>
        <v>0.08934953538241601</v>
      </c>
      <c r="P49" s="62">
        <f t="shared" si="38"/>
        <v>0.12508934953538242</v>
      </c>
      <c r="Q49" s="62">
        <f t="shared" si="39"/>
        <v>94.08506075768406</v>
      </c>
      <c r="R49" s="62">
        <f t="shared" si="40"/>
        <v>0.6075768406004289</v>
      </c>
      <c r="S49" s="62">
        <f t="shared" si="41"/>
        <v>0.053609721229449604</v>
      </c>
      <c r="T49" s="62">
        <f t="shared" si="42"/>
        <v>0.6790564689063616</v>
      </c>
      <c r="U49" s="62">
        <f t="shared" si="43"/>
        <v>1.590421729807005</v>
      </c>
      <c r="V49" s="62">
        <f t="shared" si="44"/>
        <v>1.9299499642601858</v>
      </c>
      <c r="W49" s="62">
        <f t="shared" si="45"/>
        <v>0.8398856325947106</v>
      </c>
      <c r="X49" s="62">
        <f t="shared" si="46"/>
        <v>0.21443888491779842</v>
      </c>
      <c r="Y49" s="64">
        <f t="shared" si="47"/>
        <v>100.00000000000001</v>
      </c>
      <c r="AA49" s="3" t="s">
        <v>130</v>
      </c>
      <c r="AB49" s="62">
        <f t="shared" si="6"/>
        <v>38.70967741935484</v>
      </c>
      <c r="AC49" s="62">
        <f t="shared" si="7"/>
        <v>3.225806451612903</v>
      </c>
      <c r="AD49" s="62">
        <f t="shared" si="8"/>
        <v>19.35483870967742</v>
      </c>
      <c r="AE49" s="62">
        <f t="shared" si="9"/>
        <v>29.03225806451613</v>
      </c>
      <c r="AF49" s="62">
        <f t="shared" si="10"/>
        <v>8.064516129032258</v>
      </c>
      <c r="AG49" s="62">
        <f t="shared" si="11"/>
        <v>0</v>
      </c>
      <c r="AH49" s="62">
        <f t="shared" si="12"/>
        <v>1.6129032258064515</v>
      </c>
      <c r="AI49" s="62">
        <f t="shared" si="13"/>
        <v>0</v>
      </c>
      <c r="AJ49" s="63">
        <f t="shared" si="14"/>
        <v>100</v>
      </c>
      <c r="AL49" s="3" t="s">
        <v>104</v>
      </c>
      <c r="AM49" s="62">
        <f t="shared" si="15"/>
        <v>0</v>
      </c>
      <c r="AN49" s="62">
        <f t="shared" si="16"/>
        <v>10.243613601759431</v>
      </c>
      <c r="AO49" s="62">
        <f t="shared" si="17"/>
        <v>44.29876501437997</v>
      </c>
      <c r="AP49" s="62">
        <f t="shared" si="18"/>
        <v>35.51852478430046</v>
      </c>
      <c r="AQ49" s="62">
        <f t="shared" si="19"/>
        <v>8.027406530197936</v>
      </c>
      <c r="AR49" s="62">
        <f t="shared" si="20"/>
        <v>1.5733378446963289</v>
      </c>
      <c r="AS49" s="62">
        <f t="shared" si="21"/>
        <v>0.33835222466587717</v>
      </c>
      <c r="AT49" s="62">
        <f t="shared" si="22"/>
        <v>100</v>
      </c>
      <c r="AU49" s="63">
        <f t="shared" si="23"/>
        <v>100.00000000000001</v>
      </c>
    </row>
    <row r="50" spans="1:47" ht="15">
      <c r="A50" s="3" t="s">
        <v>128</v>
      </c>
      <c r="B50" s="62">
        <f t="shared" si="24"/>
        <v>94.64025633556656</v>
      </c>
      <c r="C50" s="62">
        <f t="shared" si="25"/>
        <v>0.6408389163996504</v>
      </c>
      <c r="D50" s="62">
        <f t="shared" si="26"/>
        <v>0.466064666472473</v>
      </c>
      <c r="E50" s="62">
        <f t="shared" si="27"/>
        <v>0.49519370812700264</v>
      </c>
      <c r="F50" s="62">
        <f t="shared" si="28"/>
        <v>0.8156131663268279</v>
      </c>
      <c r="G50" s="62">
        <f t="shared" si="29"/>
        <v>0.49519370812700264</v>
      </c>
      <c r="H50" s="62">
        <f t="shared" si="30"/>
        <v>0.20390329158170697</v>
      </c>
      <c r="I50" s="62">
        <f t="shared" si="31"/>
        <v>0.20390329158170697</v>
      </c>
      <c r="J50" s="62">
        <f t="shared" si="32"/>
        <v>0.6699679580541801</v>
      </c>
      <c r="K50" s="62">
        <f t="shared" si="33"/>
        <v>0.11651616661811826</v>
      </c>
      <c r="L50" s="62">
        <f t="shared" si="34"/>
        <v>0.08738712496358869</v>
      </c>
      <c r="M50" s="62">
        <f t="shared" si="35"/>
        <v>0.49519370812700264</v>
      </c>
      <c r="N50" s="62">
        <f t="shared" si="36"/>
        <v>0.29129041654529564</v>
      </c>
      <c r="O50" s="62">
        <f t="shared" si="37"/>
        <v>0.29129041654529564</v>
      </c>
      <c r="P50" s="62">
        <f t="shared" si="38"/>
        <v>0.08738712496358869</v>
      </c>
      <c r="Q50" s="62">
        <f t="shared" si="39"/>
        <v>93.32944946111273</v>
      </c>
      <c r="R50" s="62">
        <f t="shared" si="40"/>
        <v>0.5534517914360617</v>
      </c>
      <c r="S50" s="62">
        <f t="shared" si="41"/>
        <v>0.029129041654529564</v>
      </c>
      <c r="T50" s="62">
        <f t="shared" si="42"/>
        <v>0.7282260413632392</v>
      </c>
      <c r="U50" s="62">
        <f t="shared" si="43"/>
        <v>2.417710457325954</v>
      </c>
      <c r="V50" s="62">
        <f t="shared" si="44"/>
        <v>1.6894844159627147</v>
      </c>
      <c r="W50" s="62">
        <f t="shared" si="45"/>
        <v>0.873871249635887</v>
      </c>
      <c r="X50" s="62">
        <f t="shared" si="46"/>
        <v>0.37867754150888433</v>
      </c>
      <c r="Y50" s="64">
        <f t="shared" si="47"/>
        <v>100</v>
      </c>
      <c r="AA50" s="68" t="s">
        <v>100</v>
      </c>
      <c r="AB50" s="77">
        <f t="shared" si="6"/>
        <v>1.3665455803494204</v>
      </c>
      <c r="AC50" s="77">
        <f t="shared" si="7"/>
        <v>5.3277979588306525</v>
      </c>
      <c r="AD50" s="77">
        <f t="shared" si="8"/>
        <v>28.8877356858675</v>
      </c>
      <c r="AE50" s="77">
        <f t="shared" si="9"/>
        <v>18.335928040131467</v>
      </c>
      <c r="AF50" s="77">
        <f t="shared" si="10"/>
        <v>16.675315689327107</v>
      </c>
      <c r="AG50" s="77">
        <f t="shared" si="11"/>
        <v>15.810413423283167</v>
      </c>
      <c r="AH50" s="77">
        <f t="shared" si="12"/>
        <v>10.897768552153607</v>
      </c>
      <c r="AI50" s="77">
        <f t="shared" si="13"/>
        <v>2.6984950700570836</v>
      </c>
      <c r="AJ50" s="80">
        <f t="shared" si="14"/>
        <v>100.00000000000001</v>
      </c>
      <c r="AL50" s="73" t="s">
        <v>105</v>
      </c>
      <c r="AM50" s="78">
        <f t="shared" si="15"/>
        <v>0</v>
      </c>
      <c r="AN50" s="78">
        <f t="shared" si="16"/>
        <v>18.87447892542844</v>
      </c>
      <c r="AO50" s="78">
        <f t="shared" si="17"/>
        <v>36.98471514590088</v>
      </c>
      <c r="AP50" s="78">
        <f t="shared" si="18"/>
        <v>32.65400648448355</v>
      </c>
      <c r="AQ50" s="78">
        <f t="shared" si="19"/>
        <v>9.402501157943492</v>
      </c>
      <c r="AR50" s="78">
        <f t="shared" si="20"/>
        <v>1.7369152385363593</v>
      </c>
      <c r="AS50" s="78">
        <f t="shared" si="21"/>
        <v>0.3473830477072719</v>
      </c>
      <c r="AT50" s="78">
        <f t="shared" si="22"/>
        <v>100</v>
      </c>
      <c r="AU50" s="81">
        <f t="shared" si="23"/>
        <v>100</v>
      </c>
    </row>
    <row r="51" spans="1:47" ht="15">
      <c r="A51" s="3" t="s">
        <v>129</v>
      </c>
      <c r="B51" s="62">
        <f t="shared" si="24"/>
        <v>57.14285714285714</v>
      </c>
      <c r="C51" s="62">
        <f t="shared" si="25"/>
        <v>0</v>
      </c>
      <c r="D51" s="62">
        <f t="shared" si="26"/>
        <v>0</v>
      </c>
      <c r="E51" s="62">
        <f t="shared" si="27"/>
        <v>0</v>
      </c>
      <c r="F51" s="62">
        <f t="shared" si="28"/>
        <v>0</v>
      </c>
      <c r="G51" s="62">
        <f t="shared" si="29"/>
        <v>0</v>
      </c>
      <c r="H51" s="62">
        <f t="shared" si="30"/>
        <v>0</v>
      </c>
      <c r="I51" s="62">
        <f t="shared" si="31"/>
        <v>0</v>
      </c>
      <c r="J51" s="62">
        <f t="shared" si="32"/>
        <v>0</v>
      </c>
      <c r="K51" s="62">
        <f t="shared" si="33"/>
        <v>7.142857142857142</v>
      </c>
      <c r="L51" s="62">
        <f t="shared" si="34"/>
        <v>7.142857142857142</v>
      </c>
      <c r="M51" s="62">
        <f t="shared" si="35"/>
        <v>0</v>
      </c>
      <c r="N51" s="62">
        <f t="shared" si="36"/>
        <v>21.428571428571427</v>
      </c>
      <c r="O51" s="62">
        <f t="shared" si="37"/>
        <v>0</v>
      </c>
      <c r="P51" s="62">
        <f t="shared" si="38"/>
        <v>7.142857142857142</v>
      </c>
      <c r="Q51" s="62">
        <f t="shared" si="39"/>
        <v>35.714285714285715</v>
      </c>
      <c r="R51" s="62">
        <f t="shared" si="40"/>
        <v>14.285714285714285</v>
      </c>
      <c r="S51" s="62">
        <f t="shared" si="41"/>
        <v>0</v>
      </c>
      <c r="T51" s="62">
        <f t="shared" si="42"/>
        <v>7.142857142857142</v>
      </c>
      <c r="U51" s="62">
        <f t="shared" si="43"/>
        <v>0</v>
      </c>
      <c r="V51" s="62">
        <f t="shared" si="44"/>
        <v>7.142857142857142</v>
      </c>
      <c r="W51" s="62">
        <f t="shared" si="45"/>
        <v>28.57142857142857</v>
      </c>
      <c r="X51" s="62">
        <f t="shared" si="46"/>
        <v>7.142857142857142</v>
      </c>
      <c r="Y51" s="64">
        <f t="shared" si="47"/>
        <v>99.99999999999999</v>
      </c>
      <c r="AA51" s="68" t="s">
        <v>101</v>
      </c>
      <c r="AB51" s="77">
        <f t="shared" si="6"/>
        <v>8.844000829310191</v>
      </c>
      <c r="AC51" s="77">
        <f t="shared" si="7"/>
        <v>10.609246808636673</v>
      </c>
      <c r="AD51" s="77">
        <f t="shared" si="8"/>
        <v>40.7546722743832</v>
      </c>
      <c r="AE51" s="77">
        <f t="shared" si="9"/>
        <v>26.20027841127862</v>
      </c>
      <c r="AF51" s="77">
        <f t="shared" si="10"/>
        <v>7.457868080443089</v>
      </c>
      <c r="AG51" s="77">
        <f t="shared" si="11"/>
        <v>3.026982199449101</v>
      </c>
      <c r="AH51" s="77">
        <f t="shared" si="12"/>
        <v>2.102893700204366</v>
      </c>
      <c r="AI51" s="77">
        <f t="shared" si="13"/>
        <v>1.0040576962947605</v>
      </c>
      <c r="AJ51" s="80">
        <f t="shared" si="14"/>
        <v>100</v>
      </c>
      <c r="AL51" s="67" t="s">
        <v>106</v>
      </c>
      <c r="AM51" s="76">
        <f t="shared" si="15"/>
        <v>0</v>
      </c>
      <c r="AN51" s="76">
        <f t="shared" si="16"/>
        <v>23.305945347119643</v>
      </c>
      <c r="AO51" s="76">
        <f t="shared" si="17"/>
        <v>34.35192023633678</v>
      </c>
      <c r="AP51" s="76">
        <f t="shared" si="18"/>
        <v>30.659158050221563</v>
      </c>
      <c r="AQ51" s="76">
        <f t="shared" si="19"/>
        <v>8.67337518463811</v>
      </c>
      <c r="AR51" s="76">
        <f t="shared" si="20"/>
        <v>2.363367799113737</v>
      </c>
      <c r="AS51" s="76">
        <f t="shared" si="21"/>
        <v>0.6462333825701625</v>
      </c>
      <c r="AT51" s="76">
        <f t="shared" si="22"/>
        <v>100</v>
      </c>
      <c r="AU51" s="79">
        <f t="shared" si="23"/>
        <v>100</v>
      </c>
    </row>
    <row r="52" spans="1:47" ht="15">
      <c r="A52" s="3" t="s">
        <v>130</v>
      </c>
      <c r="B52" s="62">
        <f t="shared" si="24"/>
        <v>45.16129032258064</v>
      </c>
      <c r="C52" s="62">
        <f t="shared" si="25"/>
        <v>0</v>
      </c>
      <c r="D52" s="62">
        <f t="shared" si="26"/>
        <v>4.838709677419355</v>
      </c>
      <c r="E52" s="62">
        <f t="shared" si="27"/>
        <v>3.225806451612903</v>
      </c>
      <c r="F52" s="62">
        <f t="shared" si="28"/>
        <v>0</v>
      </c>
      <c r="G52" s="62">
        <f t="shared" si="29"/>
        <v>1.6129032258064515</v>
      </c>
      <c r="H52" s="62">
        <f t="shared" si="30"/>
        <v>17.741935483870968</v>
      </c>
      <c r="I52" s="62">
        <f t="shared" si="31"/>
        <v>0</v>
      </c>
      <c r="J52" s="62">
        <f t="shared" si="32"/>
        <v>0</v>
      </c>
      <c r="K52" s="62">
        <f t="shared" si="33"/>
        <v>4.838709677419355</v>
      </c>
      <c r="L52" s="62">
        <f t="shared" si="34"/>
        <v>14.516129032258066</v>
      </c>
      <c r="M52" s="62">
        <f t="shared" si="35"/>
        <v>3.225806451612903</v>
      </c>
      <c r="N52" s="62">
        <f t="shared" si="36"/>
        <v>3.225806451612903</v>
      </c>
      <c r="O52" s="62">
        <f t="shared" si="37"/>
        <v>0</v>
      </c>
      <c r="P52" s="62">
        <f t="shared" si="38"/>
        <v>1.6129032258064515</v>
      </c>
      <c r="Q52" s="62">
        <f t="shared" si="39"/>
        <v>38.70967741935484</v>
      </c>
      <c r="R52" s="62">
        <f t="shared" si="40"/>
        <v>0</v>
      </c>
      <c r="S52" s="62">
        <f t="shared" si="41"/>
        <v>1.6129032258064515</v>
      </c>
      <c r="T52" s="62">
        <f t="shared" si="42"/>
        <v>4.838709677419355</v>
      </c>
      <c r="U52" s="62">
        <f t="shared" si="43"/>
        <v>8.064516129032258</v>
      </c>
      <c r="V52" s="62">
        <f t="shared" si="44"/>
        <v>24.193548387096776</v>
      </c>
      <c r="W52" s="62">
        <f t="shared" si="45"/>
        <v>20.967741935483872</v>
      </c>
      <c r="X52" s="62">
        <f t="shared" si="46"/>
        <v>1.6129032258064515</v>
      </c>
      <c r="Y52" s="64">
        <f t="shared" si="47"/>
        <v>99.99999999999997</v>
      </c>
      <c r="AA52" s="73" t="s">
        <v>102</v>
      </c>
      <c r="AB52" s="78">
        <f t="shared" si="6"/>
        <v>9.34623875021226</v>
      </c>
      <c r="AC52" s="78">
        <f t="shared" si="7"/>
        <v>10.263202581083377</v>
      </c>
      <c r="AD52" s="78">
        <f t="shared" si="8"/>
        <v>41.124129733401254</v>
      </c>
      <c r="AE52" s="78">
        <f t="shared" si="9"/>
        <v>25.64102564102564</v>
      </c>
      <c r="AF52" s="78">
        <f t="shared" si="10"/>
        <v>7.27797588724741</v>
      </c>
      <c r="AG52" s="78">
        <f t="shared" si="11"/>
        <v>3.131261674308032</v>
      </c>
      <c r="AH52" s="78">
        <f t="shared" si="12"/>
        <v>2.1735438953982</v>
      </c>
      <c r="AI52" s="78">
        <f t="shared" si="13"/>
        <v>1.042621837323824</v>
      </c>
      <c r="AJ52" s="81">
        <f t="shared" si="14"/>
        <v>100</v>
      </c>
      <c r="AL52" s="3" t="s">
        <v>107</v>
      </c>
      <c r="AM52" s="62">
        <f t="shared" si="15"/>
        <v>0</v>
      </c>
      <c r="AN52" s="62">
        <f t="shared" si="16"/>
        <v>20.746634026927786</v>
      </c>
      <c r="AO52" s="62">
        <f t="shared" si="17"/>
        <v>30.905752753977968</v>
      </c>
      <c r="AP52" s="62">
        <f t="shared" si="18"/>
        <v>36.964504283965724</v>
      </c>
      <c r="AQ52" s="62">
        <f t="shared" si="19"/>
        <v>9.547123623011016</v>
      </c>
      <c r="AR52" s="62">
        <f t="shared" si="20"/>
        <v>1.4687882496940026</v>
      </c>
      <c r="AS52" s="62">
        <f t="shared" si="21"/>
        <v>0.36719706242350064</v>
      </c>
      <c r="AT52" s="62">
        <f t="shared" si="22"/>
        <v>100</v>
      </c>
      <c r="AU52" s="63">
        <f t="shared" si="23"/>
        <v>100</v>
      </c>
    </row>
    <row r="53" spans="1:47" ht="15">
      <c r="A53" s="68" t="s">
        <v>100</v>
      </c>
      <c r="B53" s="77">
        <f t="shared" si="24"/>
        <v>95.53710430721328</v>
      </c>
      <c r="C53" s="77">
        <f t="shared" si="25"/>
        <v>0.12108631724615118</v>
      </c>
      <c r="D53" s="77">
        <f t="shared" si="26"/>
        <v>0.15568240788790866</v>
      </c>
      <c r="E53" s="77">
        <f t="shared" si="27"/>
        <v>0.4843452689846047</v>
      </c>
      <c r="F53" s="77">
        <f t="shared" si="28"/>
        <v>0.3459609064175748</v>
      </c>
      <c r="G53" s="77">
        <f t="shared" si="29"/>
        <v>0.2075765438505449</v>
      </c>
      <c r="H53" s="77">
        <f t="shared" si="30"/>
        <v>0.24217263449230236</v>
      </c>
      <c r="I53" s="77">
        <f t="shared" si="31"/>
        <v>0.03459609064175748</v>
      </c>
      <c r="J53" s="77">
        <f t="shared" si="32"/>
        <v>0.12108631724615118</v>
      </c>
      <c r="K53" s="77">
        <f t="shared" si="33"/>
        <v>0.2248745891714236</v>
      </c>
      <c r="L53" s="77">
        <f t="shared" si="34"/>
        <v>0.7438159487977858</v>
      </c>
      <c r="M53" s="77">
        <f t="shared" si="35"/>
        <v>0.8994983566856944</v>
      </c>
      <c r="N53" s="77">
        <f t="shared" si="36"/>
        <v>0.27676872513405987</v>
      </c>
      <c r="O53" s="77">
        <f t="shared" si="37"/>
        <v>0.1729804532087874</v>
      </c>
      <c r="P53" s="77">
        <f t="shared" si="38"/>
        <v>0.4324511330219685</v>
      </c>
      <c r="Q53" s="77">
        <f t="shared" si="39"/>
        <v>7.766822349074555</v>
      </c>
      <c r="R53" s="77">
        <f t="shared" si="40"/>
        <v>84.69122989102232</v>
      </c>
      <c r="S53" s="77">
        <f t="shared" si="41"/>
        <v>0.3113648157758173</v>
      </c>
      <c r="T53" s="77">
        <f t="shared" si="42"/>
        <v>2.7676872513405986</v>
      </c>
      <c r="U53" s="77">
        <f t="shared" si="43"/>
        <v>1.1070749005362395</v>
      </c>
      <c r="V53" s="77">
        <f t="shared" si="44"/>
        <v>0.8303061754021795</v>
      </c>
      <c r="W53" s="77">
        <f t="shared" si="45"/>
        <v>1.9200830306175403</v>
      </c>
      <c r="X53" s="77">
        <f t="shared" si="46"/>
        <v>0.6054315862307559</v>
      </c>
      <c r="Y53" s="88">
        <f t="shared" si="47"/>
        <v>100.00000000000003</v>
      </c>
      <c r="AA53" s="3" t="s">
        <v>103</v>
      </c>
      <c r="AB53" s="62">
        <f t="shared" si="6"/>
        <v>12.307779606196448</v>
      </c>
      <c r="AC53" s="62">
        <f t="shared" si="7"/>
        <v>10.009646484707485</v>
      </c>
      <c r="AD53" s="62">
        <f t="shared" si="8"/>
        <v>34.210974294955456</v>
      </c>
      <c r="AE53" s="62">
        <f t="shared" si="9"/>
        <v>28.962151733530046</v>
      </c>
      <c r="AF53" s="62">
        <f t="shared" si="10"/>
        <v>7.581002099529025</v>
      </c>
      <c r="AG53" s="62">
        <f t="shared" si="11"/>
        <v>3.654315383305907</v>
      </c>
      <c r="AH53" s="62">
        <f t="shared" si="12"/>
        <v>2.3719003574873745</v>
      </c>
      <c r="AI53" s="62">
        <f t="shared" si="13"/>
        <v>0.9022300402882596</v>
      </c>
      <c r="AJ53" s="63">
        <f t="shared" si="14"/>
        <v>100.00000000000001</v>
      </c>
      <c r="AL53" s="3" t="s">
        <v>108</v>
      </c>
      <c r="AM53" s="62">
        <f t="shared" si="15"/>
        <v>0</v>
      </c>
      <c r="AN53" s="62">
        <f t="shared" si="16"/>
        <v>24.09490693393332</v>
      </c>
      <c r="AO53" s="62">
        <f t="shared" si="17"/>
        <v>30.312947433012887</v>
      </c>
      <c r="AP53" s="62">
        <f t="shared" si="18"/>
        <v>30.047044385354877</v>
      </c>
      <c r="AQ53" s="62">
        <f t="shared" si="19"/>
        <v>11.617917774596032</v>
      </c>
      <c r="AR53" s="62">
        <f t="shared" si="20"/>
        <v>3.149928410717938</v>
      </c>
      <c r="AS53" s="62">
        <f t="shared" si="21"/>
        <v>0.7772550623849458</v>
      </c>
      <c r="AT53" s="62">
        <f t="shared" si="22"/>
        <v>100</v>
      </c>
      <c r="AU53" s="63">
        <f t="shared" si="23"/>
        <v>100</v>
      </c>
    </row>
    <row r="54" spans="1:47" ht="15">
      <c r="A54" s="68" t="s">
        <v>101</v>
      </c>
      <c r="B54" s="77">
        <f t="shared" si="24"/>
        <v>89.44702781150964</v>
      </c>
      <c r="C54" s="77">
        <f t="shared" si="25"/>
        <v>0.23102212481118384</v>
      </c>
      <c r="D54" s="77">
        <f t="shared" si="26"/>
        <v>0.48277700441311494</v>
      </c>
      <c r="E54" s="77">
        <f t="shared" si="27"/>
        <v>0.6486390427390931</v>
      </c>
      <c r="F54" s="77">
        <f t="shared" si="28"/>
        <v>1.0099813405206883</v>
      </c>
      <c r="G54" s="77">
        <f t="shared" si="29"/>
        <v>0.21621301424636438</v>
      </c>
      <c r="H54" s="77">
        <f t="shared" si="30"/>
        <v>2.2569084500784884</v>
      </c>
      <c r="I54" s="77">
        <f t="shared" si="31"/>
        <v>0.04442733169445843</v>
      </c>
      <c r="J54" s="77">
        <f t="shared" si="32"/>
        <v>0.24286941326303943</v>
      </c>
      <c r="K54" s="77">
        <f t="shared" si="33"/>
        <v>0.6901045523205875</v>
      </c>
      <c r="L54" s="77">
        <f t="shared" si="34"/>
        <v>1.895566152296893</v>
      </c>
      <c r="M54" s="77">
        <f t="shared" si="35"/>
        <v>0.3169149660871368</v>
      </c>
      <c r="N54" s="77">
        <f t="shared" si="36"/>
        <v>0.7226845955631905</v>
      </c>
      <c r="O54" s="77">
        <f t="shared" si="37"/>
        <v>0.39096051891123423</v>
      </c>
      <c r="P54" s="77">
        <f t="shared" si="38"/>
        <v>1.4039036815448864</v>
      </c>
      <c r="Q54" s="77">
        <f t="shared" si="39"/>
        <v>11.136451144744248</v>
      </c>
      <c r="R54" s="77">
        <f t="shared" si="40"/>
        <v>0.4501969611705121</v>
      </c>
      <c r="S54" s="77">
        <f t="shared" si="41"/>
        <v>0.0651600864852057</v>
      </c>
      <c r="T54" s="77">
        <f t="shared" si="42"/>
        <v>77.79521961910967</v>
      </c>
      <c r="U54" s="77">
        <f t="shared" si="43"/>
        <v>2.37241951248408</v>
      </c>
      <c r="V54" s="77">
        <f t="shared" si="44"/>
        <v>3.450522761602938</v>
      </c>
      <c r="W54" s="77">
        <f t="shared" si="45"/>
        <v>2.9351657139472205</v>
      </c>
      <c r="X54" s="77">
        <f t="shared" si="46"/>
        <v>1.7948642004561206</v>
      </c>
      <c r="Y54" s="88">
        <f t="shared" si="47"/>
        <v>100</v>
      </c>
      <c r="AA54" s="3" t="s">
        <v>104</v>
      </c>
      <c r="AB54" s="62">
        <f t="shared" si="6"/>
        <v>4.931483674505159</v>
      </c>
      <c r="AC54" s="62">
        <f t="shared" si="7"/>
        <v>10.641177465741837</v>
      </c>
      <c r="AD54" s="62">
        <f t="shared" si="8"/>
        <v>51.42953814921333</v>
      </c>
      <c r="AE54" s="62">
        <f t="shared" si="9"/>
        <v>20.69023853831839</v>
      </c>
      <c r="AF54" s="62">
        <f t="shared" si="10"/>
        <v>6.826256132634072</v>
      </c>
      <c r="AG54" s="62">
        <f t="shared" si="11"/>
        <v>2.3515479614278463</v>
      </c>
      <c r="AH54" s="62">
        <f t="shared" si="12"/>
        <v>1.8778548468956182</v>
      </c>
      <c r="AI54" s="62">
        <f t="shared" si="13"/>
        <v>1.2519032312637455</v>
      </c>
      <c r="AJ54" s="63">
        <f t="shared" si="14"/>
        <v>100</v>
      </c>
      <c r="AL54" s="3" t="s">
        <v>109</v>
      </c>
      <c r="AM54" s="62">
        <f t="shared" si="15"/>
        <v>0</v>
      </c>
      <c r="AN54" s="62">
        <f t="shared" si="16"/>
        <v>23.158105670963863</v>
      </c>
      <c r="AO54" s="62">
        <f t="shared" si="17"/>
        <v>36.14321020639904</v>
      </c>
      <c r="AP54" s="62">
        <f t="shared" si="18"/>
        <v>30.245140605169997</v>
      </c>
      <c r="AQ54" s="62">
        <f t="shared" si="19"/>
        <v>7.6013626344265575</v>
      </c>
      <c r="AR54" s="62">
        <f t="shared" si="20"/>
        <v>2.217620733417941</v>
      </c>
      <c r="AS54" s="62">
        <f t="shared" si="21"/>
        <v>0.6345601496226037</v>
      </c>
      <c r="AT54" s="62">
        <f t="shared" si="22"/>
        <v>100</v>
      </c>
      <c r="AU54" s="63">
        <f t="shared" si="23"/>
        <v>100</v>
      </c>
    </row>
    <row r="55" spans="1:47" ht="15">
      <c r="A55" s="73" t="s">
        <v>102</v>
      </c>
      <c r="B55" s="78">
        <f t="shared" si="24"/>
        <v>89.25793852946171</v>
      </c>
      <c r="C55" s="78">
        <f t="shared" si="25"/>
        <v>0.25810833757853624</v>
      </c>
      <c r="D55" s="78">
        <f t="shared" si="26"/>
        <v>0.5026320258108338</v>
      </c>
      <c r="E55" s="78">
        <f t="shared" si="27"/>
        <v>0.5739514348785872</v>
      </c>
      <c r="F55" s="78">
        <f t="shared" si="28"/>
        <v>0.9543216165732723</v>
      </c>
      <c r="G55" s="78">
        <f t="shared" si="29"/>
        <v>0.22754287654949906</v>
      </c>
      <c r="H55" s="78">
        <f t="shared" si="30"/>
        <v>2.543725590083206</v>
      </c>
      <c r="I55" s="78">
        <f t="shared" si="31"/>
        <v>0.05094243504839531</v>
      </c>
      <c r="J55" s="78">
        <f t="shared" si="32"/>
        <v>0.2547121752419766</v>
      </c>
      <c r="K55" s="78">
        <f t="shared" si="33"/>
        <v>0.6690439803022584</v>
      </c>
      <c r="L55" s="78">
        <f t="shared" si="34"/>
        <v>2.0376974019358127</v>
      </c>
      <c r="M55" s="78">
        <f t="shared" si="35"/>
        <v>0.34980472066564783</v>
      </c>
      <c r="N55" s="78">
        <f t="shared" si="36"/>
        <v>0.7573442010528103</v>
      </c>
      <c r="O55" s="78">
        <f t="shared" si="37"/>
        <v>0.4177279673968416</v>
      </c>
      <c r="P55" s="78">
        <f t="shared" si="38"/>
        <v>1.1445067074206148</v>
      </c>
      <c r="Q55" s="78">
        <f t="shared" si="39"/>
        <v>10.01528273051452</v>
      </c>
      <c r="R55" s="78">
        <f t="shared" si="40"/>
        <v>0.48225505179147565</v>
      </c>
      <c r="S55" s="78">
        <f t="shared" si="41"/>
        <v>0.07471557140431312</v>
      </c>
      <c r="T55" s="78">
        <f t="shared" si="42"/>
        <v>78.6856851757514</v>
      </c>
      <c r="U55" s="78">
        <f t="shared" si="43"/>
        <v>2.2890134148412296</v>
      </c>
      <c r="V55" s="78">
        <f t="shared" si="44"/>
        <v>3.745967057225336</v>
      </c>
      <c r="W55" s="78">
        <f t="shared" si="45"/>
        <v>3.1448463236542703</v>
      </c>
      <c r="X55" s="78">
        <f t="shared" si="46"/>
        <v>1.5622346748174563</v>
      </c>
      <c r="Y55" s="89">
        <f t="shared" si="47"/>
        <v>100.00000000000001</v>
      </c>
      <c r="AA55" s="73" t="s">
        <v>105</v>
      </c>
      <c r="AB55" s="78">
        <f t="shared" si="6"/>
        <v>5.4191755442334415</v>
      </c>
      <c r="AC55" s="78">
        <f t="shared" si="7"/>
        <v>12.968967114404817</v>
      </c>
      <c r="AD55" s="78">
        <f t="shared" si="8"/>
        <v>38.23529411764706</v>
      </c>
      <c r="AE55" s="78">
        <f t="shared" si="9"/>
        <v>30.01389532190829</v>
      </c>
      <c r="AF55" s="78">
        <f t="shared" si="10"/>
        <v>8.684576192681797</v>
      </c>
      <c r="AG55" s="78">
        <f t="shared" si="11"/>
        <v>2.3158869847151458</v>
      </c>
      <c r="AH55" s="78">
        <f t="shared" si="12"/>
        <v>1.6211208893006022</v>
      </c>
      <c r="AI55" s="78">
        <f t="shared" si="13"/>
        <v>0.7410838351088467</v>
      </c>
      <c r="AJ55" s="81">
        <f t="shared" si="14"/>
        <v>100</v>
      </c>
      <c r="AL55" s="3" t="s">
        <v>131</v>
      </c>
      <c r="AM55" s="62">
        <f t="shared" si="15"/>
        <v>0</v>
      </c>
      <c r="AN55" s="62">
        <f t="shared" si="16"/>
        <v>38.23529411764706</v>
      </c>
      <c r="AO55" s="62">
        <f t="shared" si="17"/>
        <v>25.882352941176475</v>
      </c>
      <c r="AP55" s="62">
        <f t="shared" si="18"/>
        <v>24.11764705882353</v>
      </c>
      <c r="AQ55" s="62">
        <f t="shared" si="19"/>
        <v>10</v>
      </c>
      <c r="AR55" s="62">
        <f t="shared" si="20"/>
        <v>1.1764705882352942</v>
      </c>
      <c r="AS55" s="62">
        <f t="shared" si="21"/>
        <v>0.5882352941176471</v>
      </c>
      <c r="AT55" s="62">
        <f t="shared" si="22"/>
        <v>100</v>
      </c>
      <c r="AU55" s="63">
        <f t="shared" si="23"/>
        <v>100</v>
      </c>
    </row>
    <row r="56" spans="1:47" ht="15">
      <c r="A56" s="3" t="s">
        <v>103</v>
      </c>
      <c r="B56" s="62">
        <f t="shared" si="24"/>
        <v>84.50320603756455</v>
      </c>
      <c r="C56" s="62">
        <f t="shared" si="25"/>
        <v>0.41990580491403284</v>
      </c>
      <c r="D56" s="62">
        <f t="shared" si="26"/>
        <v>0.7603699710605458</v>
      </c>
      <c r="E56" s="62">
        <f t="shared" si="27"/>
        <v>0.82278840152074</v>
      </c>
      <c r="F56" s="62">
        <f t="shared" si="28"/>
        <v>1.1859501787436872</v>
      </c>
      <c r="G56" s="62">
        <f t="shared" si="29"/>
        <v>0.3064177495318618</v>
      </c>
      <c r="H56" s="62">
        <f t="shared" si="30"/>
        <v>4.204732451909437</v>
      </c>
      <c r="I56" s="62">
        <f t="shared" si="31"/>
        <v>0.07376723599841116</v>
      </c>
      <c r="J56" s="62">
        <f t="shared" si="32"/>
        <v>0.3574873744538387</v>
      </c>
      <c r="K56" s="62">
        <f t="shared" si="33"/>
        <v>0.8795324292118255</v>
      </c>
      <c r="L56" s="62">
        <f t="shared" si="34"/>
        <v>3.1038983147023775</v>
      </c>
      <c r="M56" s="62">
        <f t="shared" si="35"/>
        <v>0.47664983260511834</v>
      </c>
      <c r="N56" s="62">
        <f t="shared" si="36"/>
        <v>1.1519037621290358</v>
      </c>
      <c r="O56" s="62">
        <f t="shared" si="37"/>
        <v>0.5901378879872893</v>
      </c>
      <c r="P56" s="62">
        <f t="shared" si="38"/>
        <v>1.163252567667253</v>
      </c>
      <c r="Q56" s="62">
        <f t="shared" si="39"/>
        <v>12.404244453271293</v>
      </c>
      <c r="R56" s="62">
        <f t="shared" si="40"/>
        <v>0.556091471372638</v>
      </c>
      <c r="S56" s="62">
        <f t="shared" si="41"/>
        <v>0.03972081938375986</v>
      </c>
      <c r="T56" s="62">
        <f t="shared" si="42"/>
        <v>71.50314929353686</v>
      </c>
      <c r="U56" s="62">
        <f t="shared" si="43"/>
        <v>3.189014356239006</v>
      </c>
      <c r="V56" s="62">
        <f t="shared" si="44"/>
        <v>5.821937241105374</v>
      </c>
      <c r="W56" s="62">
        <f t="shared" si="45"/>
        <v>4.732451909436532</v>
      </c>
      <c r="X56" s="62">
        <f t="shared" si="46"/>
        <v>1.7533904556545423</v>
      </c>
      <c r="Y56" s="64">
        <f t="shared" si="47"/>
        <v>100</v>
      </c>
      <c r="AA56" s="67" t="s">
        <v>106</v>
      </c>
      <c r="AB56" s="76">
        <f t="shared" si="6"/>
        <v>3.7527695716395866</v>
      </c>
      <c r="AC56" s="76">
        <f t="shared" si="7"/>
        <v>8.604135893648449</v>
      </c>
      <c r="AD56" s="76">
        <f t="shared" si="8"/>
        <v>33.221011816838995</v>
      </c>
      <c r="AE56" s="76">
        <f t="shared" si="9"/>
        <v>28.568131462333824</v>
      </c>
      <c r="AF56" s="76">
        <f t="shared" si="10"/>
        <v>16.5897341211226</v>
      </c>
      <c r="AG56" s="76">
        <f t="shared" si="11"/>
        <v>6.245384047267356</v>
      </c>
      <c r="AH56" s="76">
        <f t="shared" si="12"/>
        <v>2.524926144756278</v>
      </c>
      <c r="AI56" s="76">
        <f t="shared" si="13"/>
        <v>0.49390694239290994</v>
      </c>
      <c r="AJ56" s="79">
        <f t="shared" si="14"/>
        <v>100</v>
      </c>
      <c r="AL56" s="67" t="s">
        <v>110</v>
      </c>
      <c r="AM56" s="76">
        <f t="shared" si="15"/>
        <v>0</v>
      </c>
      <c r="AN56" s="76">
        <f t="shared" si="16"/>
        <v>26.076989619377162</v>
      </c>
      <c r="AO56" s="76">
        <f t="shared" si="17"/>
        <v>26.93771626297578</v>
      </c>
      <c r="AP56" s="76">
        <f t="shared" si="18"/>
        <v>29.264705882352942</v>
      </c>
      <c r="AQ56" s="76">
        <f t="shared" si="19"/>
        <v>14.20847750865052</v>
      </c>
      <c r="AR56" s="76">
        <f t="shared" si="20"/>
        <v>2.694636678200692</v>
      </c>
      <c r="AS56" s="76">
        <f t="shared" si="21"/>
        <v>0.8174740484429066</v>
      </c>
      <c r="AT56" s="76">
        <f t="shared" si="22"/>
        <v>100</v>
      </c>
      <c r="AU56" s="79">
        <f t="shared" si="23"/>
        <v>100</v>
      </c>
    </row>
    <row r="57" spans="1:47" ht="15">
      <c r="A57" s="3" t="s">
        <v>104</v>
      </c>
      <c r="B57" s="62">
        <f t="shared" si="24"/>
        <v>96.34579597360853</v>
      </c>
      <c r="C57" s="62">
        <f t="shared" si="25"/>
        <v>0.01691761123329386</v>
      </c>
      <c r="D57" s="62">
        <f t="shared" si="26"/>
        <v>0.11842327863305702</v>
      </c>
      <c r="E57" s="62">
        <f t="shared" si="27"/>
        <v>0.2030113347995263</v>
      </c>
      <c r="F57" s="62">
        <f t="shared" si="28"/>
        <v>0.6090340043985789</v>
      </c>
      <c r="G57" s="62">
        <f t="shared" si="29"/>
        <v>0.10996447301641007</v>
      </c>
      <c r="H57" s="62">
        <f t="shared" si="30"/>
        <v>0.06767044493317544</v>
      </c>
      <c r="I57" s="62">
        <f t="shared" si="31"/>
        <v>0.01691761123329386</v>
      </c>
      <c r="J57" s="62">
        <f t="shared" si="32"/>
        <v>0.10150566739976315</v>
      </c>
      <c r="K57" s="62">
        <f t="shared" si="33"/>
        <v>0.35526983589917105</v>
      </c>
      <c r="L57" s="62">
        <f t="shared" si="34"/>
        <v>0.44831669768228727</v>
      </c>
      <c r="M57" s="62">
        <f t="shared" si="35"/>
        <v>0.16071730671629167</v>
      </c>
      <c r="N57" s="62">
        <f t="shared" si="36"/>
        <v>0.16917611233293858</v>
      </c>
      <c r="O57" s="62">
        <f t="shared" si="37"/>
        <v>0.16071730671629167</v>
      </c>
      <c r="P57" s="62">
        <f t="shared" si="38"/>
        <v>1.1165623413973946</v>
      </c>
      <c r="Q57" s="62">
        <f t="shared" si="39"/>
        <v>6.454068685501607</v>
      </c>
      <c r="R57" s="62">
        <f t="shared" si="40"/>
        <v>0.3721874471324649</v>
      </c>
      <c r="S57" s="62">
        <f t="shared" si="41"/>
        <v>0.12688208424970396</v>
      </c>
      <c r="T57" s="62">
        <f t="shared" si="42"/>
        <v>89.39265775672474</v>
      </c>
      <c r="U57" s="62">
        <f t="shared" si="43"/>
        <v>0.9473862290644561</v>
      </c>
      <c r="V57" s="62">
        <f t="shared" si="44"/>
        <v>0.6513280324818136</v>
      </c>
      <c r="W57" s="62">
        <f t="shared" si="45"/>
        <v>0.7782101167315175</v>
      </c>
      <c r="X57" s="62">
        <f t="shared" si="46"/>
        <v>1.2772796481136863</v>
      </c>
      <c r="Y57" s="64">
        <f t="shared" si="47"/>
        <v>100</v>
      </c>
      <c r="AA57" s="3" t="s">
        <v>107</v>
      </c>
      <c r="AB57" s="62">
        <f t="shared" si="6"/>
        <v>4.406364749082008</v>
      </c>
      <c r="AC57" s="62">
        <f t="shared" si="7"/>
        <v>7.833537331701345</v>
      </c>
      <c r="AD57" s="62">
        <f t="shared" si="8"/>
        <v>19.3390452876377</v>
      </c>
      <c r="AE57" s="62">
        <f t="shared" si="9"/>
        <v>41.064871481028156</v>
      </c>
      <c r="AF57" s="62">
        <f t="shared" si="10"/>
        <v>18.176254589963282</v>
      </c>
      <c r="AG57" s="62">
        <f t="shared" si="11"/>
        <v>5.4467564259485926</v>
      </c>
      <c r="AH57" s="62">
        <f t="shared" si="12"/>
        <v>2.937576499388005</v>
      </c>
      <c r="AI57" s="62">
        <f t="shared" si="13"/>
        <v>0.795593635250918</v>
      </c>
      <c r="AJ57" s="63">
        <f t="shared" si="14"/>
        <v>100.00000000000001</v>
      </c>
      <c r="AL57" s="3" t="s">
        <v>111</v>
      </c>
      <c r="AM57" s="62">
        <f t="shared" si="15"/>
        <v>0</v>
      </c>
      <c r="AN57" s="62">
        <f t="shared" si="16"/>
        <v>35.194709772226304</v>
      </c>
      <c r="AO57" s="62">
        <f t="shared" si="17"/>
        <v>24.87141807494489</v>
      </c>
      <c r="AP57" s="62">
        <f t="shared" si="18"/>
        <v>24.13666421748714</v>
      </c>
      <c r="AQ57" s="62">
        <f t="shared" si="19"/>
        <v>10.9478324761205</v>
      </c>
      <c r="AR57" s="62">
        <f t="shared" si="20"/>
        <v>3.673769287288758</v>
      </c>
      <c r="AS57" s="62">
        <f t="shared" si="21"/>
        <v>1.1756061719324025</v>
      </c>
      <c r="AT57" s="62">
        <f t="shared" si="22"/>
        <v>100</v>
      </c>
      <c r="AU57" s="63">
        <f t="shared" si="23"/>
        <v>100</v>
      </c>
    </row>
    <row r="58" spans="1:47" ht="15">
      <c r="A58" s="73" t="s">
        <v>105</v>
      </c>
      <c r="B58" s="78">
        <f t="shared" si="24"/>
        <v>90.73645206113942</v>
      </c>
      <c r="C58" s="78">
        <f t="shared" si="25"/>
        <v>0.04631773969430292</v>
      </c>
      <c r="D58" s="78">
        <f t="shared" si="26"/>
        <v>0.3473830477072719</v>
      </c>
      <c r="E58" s="78">
        <f t="shared" si="27"/>
        <v>1.1579434923575729</v>
      </c>
      <c r="F58" s="78">
        <f t="shared" si="28"/>
        <v>1.3895321908290876</v>
      </c>
      <c r="G58" s="78">
        <f t="shared" si="29"/>
        <v>0.13895321908290875</v>
      </c>
      <c r="H58" s="78">
        <f t="shared" si="30"/>
        <v>0.30106530801296894</v>
      </c>
      <c r="I58" s="78">
        <f t="shared" si="31"/>
        <v>0</v>
      </c>
      <c r="J58" s="78">
        <f t="shared" si="32"/>
        <v>0.1621120889300602</v>
      </c>
      <c r="K58" s="78">
        <f t="shared" si="33"/>
        <v>0.8337193144974525</v>
      </c>
      <c r="L58" s="78">
        <f t="shared" si="34"/>
        <v>0.9263547938860583</v>
      </c>
      <c r="M58" s="78">
        <f t="shared" si="35"/>
        <v>0.09263547938860583</v>
      </c>
      <c r="N58" s="78">
        <f t="shared" si="36"/>
        <v>0.4863362667901806</v>
      </c>
      <c r="O58" s="78">
        <f t="shared" si="37"/>
        <v>0.20842982862436313</v>
      </c>
      <c r="P58" s="78">
        <f t="shared" si="38"/>
        <v>3.17276516905975</v>
      </c>
      <c r="Q58" s="78">
        <f t="shared" si="39"/>
        <v>18.781843446039833</v>
      </c>
      <c r="R58" s="78">
        <f t="shared" si="40"/>
        <v>0.2315886984715146</v>
      </c>
      <c r="S58" s="78">
        <f t="shared" si="41"/>
        <v>0</v>
      </c>
      <c r="T58" s="78">
        <f t="shared" si="42"/>
        <v>71.72301991662808</v>
      </c>
      <c r="U58" s="78">
        <f t="shared" si="43"/>
        <v>2.941176470588235</v>
      </c>
      <c r="V58" s="78">
        <f t="shared" si="44"/>
        <v>1.4358499305233905</v>
      </c>
      <c r="W58" s="78">
        <f t="shared" si="45"/>
        <v>1.5053265400648448</v>
      </c>
      <c r="X58" s="78">
        <f t="shared" si="46"/>
        <v>3.381194997684113</v>
      </c>
      <c r="Y58" s="89">
        <f t="shared" si="47"/>
        <v>99.99999999999999</v>
      </c>
      <c r="AA58" s="3" t="s">
        <v>108</v>
      </c>
      <c r="AB58" s="62">
        <f t="shared" si="6"/>
        <v>3.190836571896093</v>
      </c>
      <c r="AC58" s="62">
        <f t="shared" si="7"/>
        <v>8.774800572714256</v>
      </c>
      <c r="AD58" s="62">
        <f t="shared" si="8"/>
        <v>19.574555123747185</v>
      </c>
      <c r="AE58" s="62">
        <f t="shared" si="9"/>
        <v>29.53569237062794</v>
      </c>
      <c r="AF58" s="62">
        <f t="shared" si="10"/>
        <v>23.33810595213745</v>
      </c>
      <c r="AG58" s="62">
        <f t="shared" si="11"/>
        <v>11.433831049294334</v>
      </c>
      <c r="AH58" s="62">
        <f t="shared" si="12"/>
        <v>3.681734506033954</v>
      </c>
      <c r="AI58" s="62">
        <f t="shared" si="13"/>
        <v>0.47044385354878293</v>
      </c>
      <c r="AJ58" s="63">
        <f t="shared" si="14"/>
        <v>100</v>
      </c>
      <c r="AL58" s="3" t="s">
        <v>112</v>
      </c>
      <c r="AM58" s="62">
        <f t="shared" si="15"/>
        <v>0</v>
      </c>
      <c r="AN58" s="62">
        <f t="shared" si="16"/>
        <v>30.749354005167955</v>
      </c>
      <c r="AO58" s="62">
        <f t="shared" si="17"/>
        <v>26.808785529715763</v>
      </c>
      <c r="AP58" s="62">
        <f t="shared" si="18"/>
        <v>28.58527131782946</v>
      </c>
      <c r="AQ58" s="62">
        <f t="shared" si="19"/>
        <v>11.304909560723514</v>
      </c>
      <c r="AR58" s="62">
        <f t="shared" si="20"/>
        <v>1.744186046511628</v>
      </c>
      <c r="AS58" s="62">
        <f t="shared" si="21"/>
        <v>0.8074935400516795</v>
      </c>
      <c r="AT58" s="62">
        <f t="shared" si="22"/>
        <v>100</v>
      </c>
      <c r="AU58" s="63">
        <f t="shared" si="23"/>
        <v>100</v>
      </c>
    </row>
    <row r="59" spans="1:47" ht="15">
      <c r="A59" s="67" t="s">
        <v>106</v>
      </c>
      <c r="B59" s="76">
        <f t="shared" si="24"/>
        <v>37.14457163958641</v>
      </c>
      <c r="C59" s="76">
        <f t="shared" si="25"/>
        <v>0.07385524372230429</v>
      </c>
      <c r="D59" s="76">
        <f t="shared" si="26"/>
        <v>2.0171713441654355</v>
      </c>
      <c r="E59" s="76">
        <f t="shared" si="27"/>
        <v>0.3692762186115214</v>
      </c>
      <c r="F59" s="76">
        <f t="shared" si="28"/>
        <v>1.315546528803545</v>
      </c>
      <c r="G59" s="76">
        <f t="shared" si="29"/>
        <v>7.680945347119645</v>
      </c>
      <c r="H59" s="76">
        <f t="shared" si="30"/>
        <v>0.7339364844903988</v>
      </c>
      <c r="I59" s="76">
        <f t="shared" si="31"/>
        <v>0.023079763663220086</v>
      </c>
      <c r="J59" s="76">
        <f t="shared" si="32"/>
        <v>0.8677991137370753</v>
      </c>
      <c r="K59" s="76">
        <f t="shared" si="33"/>
        <v>3.2219350073855244</v>
      </c>
      <c r="L59" s="76">
        <f t="shared" si="34"/>
        <v>36.89992614475628</v>
      </c>
      <c r="M59" s="76">
        <f t="shared" si="35"/>
        <v>0.3277326440177252</v>
      </c>
      <c r="N59" s="76">
        <f t="shared" si="36"/>
        <v>3.9604874446085674</v>
      </c>
      <c r="O59" s="76">
        <f t="shared" si="37"/>
        <v>2.9819054652880355</v>
      </c>
      <c r="P59" s="76">
        <f t="shared" si="38"/>
        <v>2.3818316100443133</v>
      </c>
      <c r="Q59" s="76">
        <f t="shared" si="39"/>
        <v>16.15583456425406</v>
      </c>
      <c r="R59" s="76">
        <f t="shared" si="40"/>
        <v>0.7293205317577548</v>
      </c>
      <c r="S59" s="76">
        <f t="shared" si="41"/>
        <v>0.004615952732644018</v>
      </c>
      <c r="T59" s="76">
        <f t="shared" si="42"/>
        <v>20.254800590841953</v>
      </c>
      <c r="U59" s="76">
        <f t="shared" si="43"/>
        <v>3.7758493353028064</v>
      </c>
      <c r="V59" s="76">
        <f t="shared" si="44"/>
        <v>12.527695716395865</v>
      </c>
      <c r="W59" s="76">
        <f t="shared" si="45"/>
        <v>41.188146233382575</v>
      </c>
      <c r="X59" s="76">
        <f t="shared" si="46"/>
        <v>5.363737075332349</v>
      </c>
      <c r="Y59" s="87">
        <f t="shared" si="47"/>
        <v>100.00000000000003</v>
      </c>
      <c r="AA59" s="3" t="s">
        <v>109</v>
      </c>
      <c r="AB59" s="62">
        <f t="shared" si="6"/>
        <v>3.9008750250484265</v>
      </c>
      <c r="AC59" s="62">
        <f t="shared" si="7"/>
        <v>8.716852581657871</v>
      </c>
      <c r="AD59" s="62">
        <f t="shared" si="8"/>
        <v>39.50303920913766</v>
      </c>
      <c r="AE59" s="62">
        <f t="shared" si="9"/>
        <v>26.865272860864337</v>
      </c>
      <c r="AF59" s="62">
        <f t="shared" si="10"/>
        <v>13.886847905951505</v>
      </c>
      <c r="AG59" s="62">
        <f t="shared" si="11"/>
        <v>4.615590140939149</v>
      </c>
      <c r="AH59" s="62">
        <f t="shared" si="12"/>
        <v>2.050631220359361</v>
      </c>
      <c r="AI59" s="62">
        <f t="shared" si="13"/>
        <v>0.46089105604168057</v>
      </c>
      <c r="AJ59" s="63">
        <f t="shared" si="14"/>
        <v>100</v>
      </c>
      <c r="AL59" s="3" t="s">
        <v>113</v>
      </c>
      <c r="AM59" s="62">
        <f t="shared" si="15"/>
        <v>0</v>
      </c>
      <c r="AN59" s="62">
        <f t="shared" si="16"/>
        <v>24.477372847416902</v>
      </c>
      <c r="AO59" s="62">
        <f t="shared" si="17"/>
        <v>28.16980376451742</v>
      </c>
      <c r="AP59" s="62">
        <f t="shared" si="18"/>
        <v>28.650380456547857</v>
      </c>
      <c r="AQ59" s="62">
        <f t="shared" si="19"/>
        <v>14.74569483380056</v>
      </c>
      <c r="AR59" s="62">
        <f t="shared" si="20"/>
        <v>3.02763315979175</v>
      </c>
      <c r="AS59" s="62">
        <f t="shared" si="21"/>
        <v>0.9291149379255107</v>
      </c>
      <c r="AT59" s="62">
        <f t="shared" si="22"/>
        <v>100</v>
      </c>
      <c r="AU59" s="63">
        <f t="shared" si="23"/>
        <v>100</v>
      </c>
    </row>
    <row r="60" spans="1:47" ht="15">
      <c r="A60" s="3" t="s">
        <v>107</v>
      </c>
      <c r="B60" s="62">
        <f t="shared" si="24"/>
        <v>29.1921664626683</v>
      </c>
      <c r="C60" s="62">
        <f t="shared" si="25"/>
        <v>0.12239902080783352</v>
      </c>
      <c r="D60" s="62">
        <f t="shared" si="26"/>
        <v>5.87515299877601</v>
      </c>
      <c r="E60" s="62">
        <f t="shared" si="27"/>
        <v>0.12239902080783352</v>
      </c>
      <c r="F60" s="62">
        <f t="shared" si="28"/>
        <v>2.5091799265605874</v>
      </c>
      <c r="G60" s="62">
        <f t="shared" si="29"/>
        <v>0.4895960832313341</v>
      </c>
      <c r="H60" s="62">
        <f t="shared" si="30"/>
        <v>0.7343941248470013</v>
      </c>
      <c r="I60" s="62">
        <f t="shared" si="31"/>
        <v>0.06119951040391676</v>
      </c>
      <c r="J60" s="62">
        <f t="shared" si="32"/>
        <v>0</v>
      </c>
      <c r="K60" s="62">
        <f t="shared" si="33"/>
        <v>0.795593635250918</v>
      </c>
      <c r="L60" s="62">
        <f t="shared" si="34"/>
        <v>11.689106487148102</v>
      </c>
      <c r="M60" s="62">
        <f t="shared" si="35"/>
        <v>0.18359853121175032</v>
      </c>
      <c r="N60" s="62">
        <f t="shared" si="36"/>
        <v>1.8359853121175032</v>
      </c>
      <c r="O60" s="62">
        <f t="shared" si="37"/>
        <v>34.700122399020806</v>
      </c>
      <c r="P60" s="62">
        <f t="shared" si="38"/>
        <v>11.689106487148102</v>
      </c>
      <c r="Q60" s="62">
        <f t="shared" si="39"/>
        <v>11.199510403916769</v>
      </c>
      <c r="R60" s="62">
        <f t="shared" si="40"/>
        <v>0.12239902080783352</v>
      </c>
      <c r="S60" s="62">
        <f t="shared" si="41"/>
        <v>0</v>
      </c>
      <c r="T60" s="62">
        <f t="shared" si="42"/>
        <v>17.870257037943695</v>
      </c>
      <c r="U60" s="62">
        <f t="shared" si="43"/>
        <v>8.629130966952264</v>
      </c>
      <c r="V60" s="62">
        <f t="shared" si="44"/>
        <v>2.08078335373317</v>
      </c>
      <c r="W60" s="62">
        <f t="shared" si="45"/>
        <v>13.708690330477355</v>
      </c>
      <c r="X60" s="62">
        <f t="shared" si="46"/>
        <v>46.38922888616891</v>
      </c>
      <c r="Y60" s="64">
        <f t="shared" si="47"/>
        <v>100</v>
      </c>
      <c r="AA60" s="3" t="s">
        <v>131</v>
      </c>
      <c r="AB60" s="62">
        <f t="shared" si="6"/>
        <v>0.5882352941176471</v>
      </c>
      <c r="AC60" s="62">
        <f t="shared" si="7"/>
        <v>1.1764705882352942</v>
      </c>
      <c r="AD60" s="62">
        <f t="shared" si="8"/>
        <v>5.88235294117647</v>
      </c>
      <c r="AE60" s="62">
        <f t="shared" si="9"/>
        <v>30.58823529411765</v>
      </c>
      <c r="AF60" s="62">
        <f t="shared" si="10"/>
        <v>45.294117647058826</v>
      </c>
      <c r="AG60" s="62">
        <f t="shared" si="11"/>
        <v>8.235294117647058</v>
      </c>
      <c r="AH60" s="62">
        <f t="shared" si="12"/>
        <v>7.0588235294117645</v>
      </c>
      <c r="AI60" s="62">
        <f t="shared" si="13"/>
        <v>1.1764705882352942</v>
      </c>
      <c r="AJ60" s="63">
        <f t="shared" si="14"/>
        <v>100</v>
      </c>
      <c r="AL60" s="3" t="s">
        <v>114</v>
      </c>
      <c r="AM60" s="62">
        <f t="shared" si="15"/>
        <v>0</v>
      </c>
      <c r="AN60" s="62">
        <f t="shared" si="16"/>
        <v>22.302926725058747</v>
      </c>
      <c r="AO60" s="62">
        <f t="shared" si="17"/>
        <v>24.524674214911343</v>
      </c>
      <c r="AP60" s="62">
        <f t="shared" si="18"/>
        <v>34.13800469985046</v>
      </c>
      <c r="AQ60" s="62">
        <f t="shared" si="19"/>
        <v>16.74855800042726</v>
      </c>
      <c r="AR60" s="62">
        <f t="shared" si="20"/>
        <v>1.944029053621021</v>
      </c>
      <c r="AS60" s="62">
        <f t="shared" si="21"/>
        <v>0.34180730613116855</v>
      </c>
      <c r="AT60" s="62">
        <f t="shared" si="22"/>
        <v>100</v>
      </c>
      <c r="AU60" s="63">
        <f t="shared" si="23"/>
        <v>100</v>
      </c>
    </row>
    <row r="61" spans="1:47" ht="15">
      <c r="A61" s="3" t="s">
        <v>108</v>
      </c>
      <c r="B61" s="62">
        <f t="shared" si="24"/>
        <v>4.499897729597055</v>
      </c>
      <c r="C61" s="62">
        <f t="shared" si="25"/>
        <v>0.06136224176723256</v>
      </c>
      <c r="D61" s="62">
        <f t="shared" si="26"/>
        <v>2.9658416854162404</v>
      </c>
      <c r="E61" s="62">
        <f t="shared" si="27"/>
        <v>0.10227040294538761</v>
      </c>
      <c r="F61" s="62">
        <f t="shared" si="28"/>
        <v>0.6340764982614031</v>
      </c>
      <c r="G61" s="62">
        <f t="shared" si="29"/>
        <v>0.5727142564941705</v>
      </c>
      <c r="H61" s="62">
        <f t="shared" si="30"/>
        <v>0.47044385354878293</v>
      </c>
      <c r="I61" s="62">
        <f t="shared" si="31"/>
        <v>0.040908161178155045</v>
      </c>
      <c r="J61" s="62">
        <f t="shared" si="32"/>
        <v>0.08181632235631009</v>
      </c>
      <c r="K61" s="62">
        <f t="shared" si="33"/>
        <v>0.26590304765800776</v>
      </c>
      <c r="L61" s="62">
        <f t="shared" si="34"/>
        <v>84.55716915524647</v>
      </c>
      <c r="M61" s="62">
        <f t="shared" si="35"/>
        <v>0.8795254653303334</v>
      </c>
      <c r="N61" s="62">
        <f t="shared" si="36"/>
        <v>3.7635508283902634</v>
      </c>
      <c r="O61" s="62">
        <f t="shared" si="37"/>
        <v>0.6954387400286357</v>
      </c>
      <c r="P61" s="62">
        <f t="shared" si="38"/>
        <v>0.40908161178155045</v>
      </c>
      <c r="Q61" s="62">
        <f t="shared" si="39"/>
        <v>2.454489670689303</v>
      </c>
      <c r="R61" s="62">
        <f t="shared" si="40"/>
        <v>0.040908161178155045</v>
      </c>
      <c r="S61" s="62">
        <f t="shared" si="41"/>
        <v>0</v>
      </c>
      <c r="T61" s="62">
        <f t="shared" si="42"/>
        <v>2.004499897729597</v>
      </c>
      <c r="U61" s="62">
        <f t="shared" si="43"/>
        <v>3.7635508283902634</v>
      </c>
      <c r="V61" s="62">
        <f t="shared" si="44"/>
        <v>1.4317856412354264</v>
      </c>
      <c r="W61" s="62">
        <f t="shared" si="45"/>
        <v>89.20024544896707</v>
      </c>
      <c r="X61" s="62">
        <f t="shared" si="46"/>
        <v>1.1045203518101863</v>
      </c>
      <c r="Y61" s="64">
        <f t="shared" si="47"/>
        <v>99.99999999999999</v>
      </c>
      <c r="AA61" s="67" t="s">
        <v>110</v>
      </c>
      <c r="AB61" s="76">
        <f t="shared" si="6"/>
        <v>6.172145328719723</v>
      </c>
      <c r="AC61" s="76">
        <f t="shared" si="7"/>
        <v>11.254325259515571</v>
      </c>
      <c r="AD61" s="76">
        <f t="shared" si="8"/>
        <v>25.28114186851211</v>
      </c>
      <c r="AE61" s="76">
        <f t="shared" si="9"/>
        <v>29.06141868512111</v>
      </c>
      <c r="AF61" s="76">
        <f t="shared" si="10"/>
        <v>16.691176470588236</v>
      </c>
      <c r="AG61" s="76">
        <f t="shared" si="11"/>
        <v>7.084775086505191</v>
      </c>
      <c r="AH61" s="76">
        <f t="shared" si="12"/>
        <v>3.5250865051903113</v>
      </c>
      <c r="AI61" s="76">
        <f t="shared" si="13"/>
        <v>0.9299307958477508</v>
      </c>
      <c r="AJ61" s="79">
        <f t="shared" si="14"/>
        <v>100</v>
      </c>
      <c r="AL61" s="3" t="s">
        <v>115</v>
      </c>
      <c r="AM61" s="62">
        <f t="shared" si="15"/>
        <v>0</v>
      </c>
      <c r="AN61" s="62">
        <f t="shared" si="16"/>
        <v>13.970588235294118</v>
      </c>
      <c r="AO61" s="62">
        <f t="shared" si="17"/>
        <v>41.17647058823529</v>
      </c>
      <c r="AP61" s="62">
        <f t="shared" si="18"/>
        <v>36.029411764705884</v>
      </c>
      <c r="AQ61" s="62">
        <f t="shared" si="19"/>
        <v>8.823529411764707</v>
      </c>
      <c r="AR61" s="62">
        <f t="shared" si="20"/>
        <v>0</v>
      </c>
      <c r="AS61" s="62">
        <f t="shared" si="21"/>
        <v>0</v>
      </c>
      <c r="AT61" s="62">
        <f t="shared" si="22"/>
        <v>100</v>
      </c>
      <c r="AU61" s="63">
        <f t="shared" si="23"/>
        <v>100</v>
      </c>
    </row>
    <row r="62" spans="1:47" ht="15">
      <c r="A62" s="3" t="s">
        <v>109</v>
      </c>
      <c r="B62" s="62">
        <f t="shared" si="24"/>
        <v>48.994723131387346</v>
      </c>
      <c r="C62" s="62">
        <f t="shared" si="25"/>
        <v>0.07347538574577515</v>
      </c>
      <c r="D62" s="62">
        <f t="shared" si="26"/>
        <v>1.3091977823792667</v>
      </c>
      <c r="E62" s="62">
        <f t="shared" si="27"/>
        <v>0.48092979760871013</v>
      </c>
      <c r="F62" s="62">
        <f t="shared" si="28"/>
        <v>1.4227506512591008</v>
      </c>
      <c r="G62" s="62">
        <f t="shared" si="29"/>
        <v>10.266515262841494</v>
      </c>
      <c r="H62" s="62">
        <f t="shared" si="30"/>
        <v>0.8015496626811836</v>
      </c>
      <c r="I62" s="62">
        <f t="shared" si="31"/>
        <v>0.013359161044686395</v>
      </c>
      <c r="J62" s="62">
        <f t="shared" si="32"/>
        <v>1.222363235588805</v>
      </c>
      <c r="K62" s="62">
        <f t="shared" si="33"/>
        <v>4.421882305791196</v>
      </c>
      <c r="L62" s="62">
        <f t="shared" si="34"/>
        <v>24.233518135061118</v>
      </c>
      <c r="M62" s="62">
        <f t="shared" si="35"/>
        <v>0.1603099325362367</v>
      </c>
      <c r="N62" s="62">
        <f t="shared" si="36"/>
        <v>4.281611114821989</v>
      </c>
      <c r="O62" s="62">
        <f t="shared" si="37"/>
        <v>0.2939015429831006</v>
      </c>
      <c r="P62" s="62">
        <f t="shared" si="38"/>
        <v>2.0239128982699883</v>
      </c>
      <c r="Q62" s="62">
        <f t="shared" si="39"/>
        <v>21.28782312470777</v>
      </c>
      <c r="R62" s="62">
        <f t="shared" si="40"/>
        <v>1.0219758199185092</v>
      </c>
      <c r="S62" s="62">
        <f t="shared" si="41"/>
        <v>0.006679580522343197</v>
      </c>
      <c r="T62" s="62">
        <f t="shared" si="42"/>
        <v>26.678244606238728</v>
      </c>
      <c r="U62" s="62">
        <f t="shared" si="43"/>
        <v>3.286353616992853</v>
      </c>
      <c r="V62" s="62">
        <f t="shared" si="44"/>
        <v>16.725669627947365</v>
      </c>
      <c r="W62" s="62">
        <f t="shared" si="45"/>
        <v>28.675439182419343</v>
      </c>
      <c r="X62" s="62">
        <f t="shared" si="46"/>
        <v>2.3178144412530894</v>
      </c>
      <c r="Y62" s="64">
        <f t="shared" si="47"/>
        <v>100</v>
      </c>
      <c r="AA62" s="3" t="s">
        <v>111</v>
      </c>
      <c r="AB62" s="62">
        <f t="shared" si="6"/>
        <v>5.841293166789126</v>
      </c>
      <c r="AC62" s="62">
        <f t="shared" si="7"/>
        <v>12.894930198383541</v>
      </c>
      <c r="AD62" s="62">
        <f t="shared" si="8"/>
        <v>28.214548126377665</v>
      </c>
      <c r="AE62" s="62">
        <f t="shared" si="9"/>
        <v>26.634827332843496</v>
      </c>
      <c r="AF62" s="62">
        <f t="shared" si="10"/>
        <v>15.686994856722997</v>
      </c>
      <c r="AG62" s="62">
        <f t="shared" si="11"/>
        <v>6.39235855988244</v>
      </c>
      <c r="AH62" s="62">
        <f t="shared" si="12"/>
        <v>3.416605437178545</v>
      </c>
      <c r="AI62" s="62">
        <f t="shared" si="13"/>
        <v>0.9184423218221895</v>
      </c>
      <c r="AJ62" s="63">
        <f t="shared" si="14"/>
        <v>100.00000000000001</v>
      </c>
      <c r="AL62" s="67" t="s">
        <v>116</v>
      </c>
      <c r="AM62" s="76">
        <f t="shared" si="15"/>
        <v>0</v>
      </c>
      <c r="AN62" s="76">
        <f t="shared" si="16"/>
        <v>26.40144665461121</v>
      </c>
      <c r="AO62" s="76">
        <f t="shared" si="17"/>
        <v>28.7321679726743</v>
      </c>
      <c r="AP62" s="76">
        <f t="shared" si="18"/>
        <v>32.19476257450941</v>
      </c>
      <c r="AQ62" s="76">
        <f t="shared" si="19"/>
        <v>10.508338356439623</v>
      </c>
      <c r="AR62" s="76">
        <f t="shared" si="20"/>
        <v>1.5939990623534925</v>
      </c>
      <c r="AS62" s="76">
        <f t="shared" si="21"/>
        <v>0.5692853794119617</v>
      </c>
      <c r="AT62" s="76">
        <f t="shared" si="22"/>
        <v>100</v>
      </c>
      <c r="AU62" s="79">
        <f t="shared" si="23"/>
        <v>100</v>
      </c>
    </row>
    <row r="63" spans="1:47" ht="15">
      <c r="A63" s="3" t="s">
        <v>131</v>
      </c>
      <c r="B63" s="62">
        <f t="shared" si="24"/>
        <v>8.823529411764707</v>
      </c>
      <c r="C63" s="62">
        <f t="shared" si="25"/>
        <v>0</v>
      </c>
      <c r="D63" s="62">
        <f t="shared" si="26"/>
        <v>0</v>
      </c>
      <c r="E63" s="62">
        <f t="shared" si="27"/>
        <v>0.5882352941176471</v>
      </c>
      <c r="F63" s="62">
        <f t="shared" si="28"/>
        <v>0</v>
      </c>
      <c r="G63" s="62">
        <f t="shared" si="29"/>
        <v>53.529411764705884</v>
      </c>
      <c r="H63" s="62">
        <f t="shared" si="30"/>
        <v>2.3529411764705883</v>
      </c>
      <c r="I63" s="62">
        <f t="shared" si="31"/>
        <v>0</v>
      </c>
      <c r="J63" s="62">
        <f t="shared" si="32"/>
        <v>0.5882352941176471</v>
      </c>
      <c r="K63" s="62">
        <f t="shared" si="33"/>
        <v>5.88235294117647</v>
      </c>
      <c r="L63" s="62">
        <f t="shared" si="34"/>
        <v>24.11764705882353</v>
      </c>
      <c r="M63" s="62">
        <f t="shared" si="35"/>
        <v>0.5882352941176471</v>
      </c>
      <c r="N63" s="62">
        <f t="shared" si="36"/>
        <v>1.7647058823529411</v>
      </c>
      <c r="O63" s="62">
        <f t="shared" si="37"/>
        <v>0.5882352941176471</v>
      </c>
      <c r="P63" s="62">
        <f t="shared" si="38"/>
        <v>1.1764705882352942</v>
      </c>
      <c r="Q63" s="62">
        <f t="shared" si="39"/>
        <v>5.88235294117647</v>
      </c>
      <c r="R63" s="62">
        <f t="shared" si="40"/>
        <v>0.5882352941176471</v>
      </c>
      <c r="S63" s="62">
        <f t="shared" si="41"/>
        <v>0</v>
      </c>
      <c r="T63" s="62">
        <f t="shared" si="42"/>
        <v>2.3529411764705883</v>
      </c>
      <c r="U63" s="62">
        <f t="shared" si="43"/>
        <v>0.5882352941176471</v>
      </c>
      <c r="V63" s="62">
        <f t="shared" si="44"/>
        <v>62.35294117647059</v>
      </c>
      <c r="W63" s="62">
        <f t="shared" si="45"/>
        <v>26.47058823529412</v>
      </c>
      <c r="X63" s="62">
        <f t="shared" si="46"/>
        <v>1.7647058823529411</v>
      </c>
      <c r="Y63" s="64">
        <f t="shared" si="47"/>
        <v>100</v>
      </c>
      <c r="AA63" s="3" t="s">
        <v>112</v>
      </c>
      <c r="AB63" s="62">
        <f t="shared" si="6"/>
        <v>6.363049095607236</v>
      </c>
      <c r="AC63" s="62">
        <f t="shared" si="7"/>
        <v>12.62919896640827</v>
      </c>
      <c r="AD63" s="62">
        <f t="shared" si="8"/>
        <v>33.882428940568474</v>
      </c>
      <c r="AE63" s="62">
        <f t="shared" si="9"/>
        <v>29.069767441860467</v>
      </c>
      <c r="AF63" s="62">
        <f t="shared" si="10"/>
        <v>12.467700258397933</v>
      </c>
      <c r="AG63" s="62">
        <f t="shared" si="11"/>
        <v>3.10077519379845</v>
      </c>
      <c r="AH63" s="62">
        <f t="shared" si="12"/>
        <v>2.099483204134367</v>
      </c>
      <c r="AI63" s="62">
        <f t="shared" si="13"/>
        <v>0.3875968992248062</v>
      </c>
      <c r="AJ63" s="63">
        <f t="shared" si="14"/>
        <v>100</v>
      </c>
      <c r="AL63" s="3" t="s">
        <v>117</v>
      </c>
      <c r="AM63" s="62">
        <f t="shared" si="15"/>
        <v>0</v>
      </c>
      <c r="AN63" s="62">
        <f t="shared" si="16"/>
        <v>30.696008188331625</v>
      </c>
      <c r="AO63" s="62">
        <f t="shared" si="17"/>
        <v>28.34186284544524</v>
      </c>
      <c r="AP63" s="62">
        <f t="shared" si="18"/>
        <v>29.18116683725691</v>
      </c>
      <c r="AQ63" s="62">
        <f t="shared" si="19"/>
        <v>9.682702149437052</v>
      </c>
      <c r="AR63" s="62">
        <f t="shared" si="20"/>
        <v>1.4841351074718525</v>
      </c>
      <c r="AS63" s="62">
        <f t="shared" si="21"/>
        <v>0.6141248720573182</v>
      </c>
      <c r="AT63" s="62">
        <f t="shared" si="22"/>
        <v>100</v>
      </c>
      <c r="AU63" s="63">
        <f t="shared" si="23"/>
        <v>100</v>
      </c>
    </row>
    <row r="64" spans="1:47" ht="15">
      <c r="A64" s="67" t="s">
        <v>110</v>
      </c>
      <c r="B64" s="76">
        <f t="shared" si="24"/>
        <v>10.242214532871973</v>
      </c>
      <c r="C64" s="76">
        <f t="shared" si="25"/>
        <v>0.043252595155709346</v>
      </c>
      <c r="D64" s="76">
        <f t="shared" si="26"/>
        <v>0.06920415224913494</v>
      </c>
      <c r="E64" s="76">
        <f t="shared" si="27"/>
        <v>2.08477508650519</v>
      </c>
      <c r="F64" s="76">
        <f t="shared" si="28"/>
        <v>1.124567474048443</v>
      </c>
      <c r="G64" s="76">
        <f t="shared" si="29"/>
        <v>14.969723183391004</v>
      </c>
      <c r="H64" s="76">
        <f t="shared" si="30"/>
        <v>23.8840830449827</v>
      </c>
      <c r="I64" s="76">
        <f t="shared" si="31"/>
        <v>3.2482698961937713</v>
      </c>
      <c r="J64" s="76">
        <f t="shared" si="32"/>
        <v>9.537197231833911</v>
      </c>
      <c r="K64" s="76">
        <f t="shared" si="33"/>
        <v>26.877162629757784</v>
      </c>
      <c r="L64" s="76">
        <f t="shared" si="34"/>
        <v>0.4887543252595156</v>
      </c>
      <c r="M64" s="76">
        <f t="shared" si="35"/>
        <v>0.12543252595155707</v>
      </c>
      <c r="N64" s="76">
        <f t="shared" si="36"/>
        <v>0.28546712802768165</v>
      </c>
      <c r="O64" s="76">
        <f t="shared" si="37"/>
        <v>3.14878892733564</v>
      </c>
      <c r="P64" s="76">
        <f t="shared" si="38"/>
        <v>3.8711072664359865</v>
      </c>
      <c r="Q64" s="76">
        <f t="shared" si="39"/>
        <v>6.682525951557093</v>
      </c>
      <c r="R64" s="76">
        <f t="shared" si="40"/>
        <v>0.18166089965397925</v>
      </c>
      <c r="S64" s="76">
        <f t="shared" si="41"/>
        <v>0.012975778546712804</v>
      </c>
      <c r="T64" s="76">
        <f t="shared" si="42"/>
        <v>3.3650519031141872</v>
      </c>
      <c r="U64" s="76">
        <f t="shared" si="43"/>
        <v>3.3217993079584778</v>
      </c>
      <c r="V64" s="76">
        <f t="shared" si="44"/>
        <v>78.51643598615917</v>
      </c>
      <c r="W64" s="76">
        <f t="shared" si="45"/>
        <v>0.8996539792387545</v>
      </c>
      <c r="X64" s="76">
        <f t="shared" si="46"/>
        <v>7.019896193771627</v>
      </c>
      <c r="Y64" s="87">
        <f t="shared" si="47"/>
        <v>100</v>
      </c>
      <c r="AA64" s="3" t="s">
        <v>113</v>
      </c>
      <c r="AB64" s="62">
        <f t="shared" si="6"/>
        <v>6.527833400080096</v>
      </c>
      <c r="AC64" s="62">
        <f t="shared" si="7"/>
        <v>11.493792551061272</v>
      </c>
      <c r="AD64" s="62">
        <f t="shared" si="8"/>
        <v>23.019623548257908</v>
      </c>
      <c r="AE64" s="62">
        <f t="shared" si="9"/>
        <v>27.048458149779737</v>
      </c>
      <c r="AF64" s="62">
        <f t="shared" si="10"/>
        <v>16.82819383259912</v>
      </c>
      <c r="AG64" s="62">
        <f t="shared" si="11"/>
        <v>9.106928313976773</v>
      </c>
      <c r="AH64" s="62">
        <f t="shared" si="12"/>
        <v>4.757709251101322</v>
      </c>
      <c r="AI64" s="62">
        <f t="shared" si="13"/>
        <v>1.2174609531437726</v>
      </c>
      <c r="AJ64" s="63">
        <f t="shared" si="14"/>
        <v>100.00000000000001</v>
      </c>
      <c r="AL64" s="3" t="s">
        <v>118</v>
      </c>
      <c r="AM64" s="62">
        <f t="shared" si="15"/>
        <v>0</v>
      </c>
      <c r="AN64" s="62">
        <f t="shared" si="16"/>
        <v>18.2716527804689</v>
      </c>
      <c r="AO64" s="62">
        <f t="shared" si="17"/>
        <v>29.47103274559194</v>
      </c>
      <c r="AP64" s="62">
        <f t="shared" si="18"/>
        <v>37.899631854291805</v>
      </c>
      <c r="AQ64" s="62">
        <f t="shared" si="19"/>
        <v>12.07130401085061</v>
      </c>
      <c r="AR64" s="62">
        <f t="shared" si="20"/>
        <v>1.801976361170316</v>
      </c>
      <c r="AS64" s="62">
        <f t="shared" si="21"/>
        <v>0.48440224762642903</v>
      </c>
      <c r="AT64" s="62">
        <f t="shared" si="22"/>
        <v>100</v>
      </c>
      <c r="AU64" s="63">
        <f t="shared" si="23"/>
        <v>100</v>
      </c>
    </row>
    <row r="65" spans="1:47" ht="15">
      <c r="A65" s="3" t="s">
        <v>111</v>
      </c>
      <c r="B65" s="62">
        <f t="shared" si="24"/>
        <v>28.214548126377665</v>
      </c>
      <c r="C65" s="62">
        <f t="shared" si="25"/>
        <v>0.07347538574577515</v>
      </c>
      <c r="D65" s="62">
        <f t="shared" si="26"/>
        <v>0.33063923585598826</v>
      </c>
      <c r="E65" s="62">
        <f t="shared" si="27"/>
        <v>2.9390154298310067</v>
      </c>
      <c r="F65" s="62">
        <f t="shared" si="28"/>
        <v>2.4246877296105804</v>
      </c>
      <c r="G65" s="62">
        <f t="shared" si="29"/>
        <v>2.6083761939750185</v>
      </c>
      <c r="H65" s="62">
        <f t="shared" si="30"/>
        <v>3.1227038941954444</v>
      </c>
      <c r="I65" s="62">
        <f t="shared" si="31"/>
        <v>0.18368846436443792</v>
      </c>
      <c r="J65" s="62">
        <f t="shared" si="32"/>
        <v>0.9184423218221895</v>
      </c>
      <c r="K65" s="62">
        <f t="shared" si="33"/>
        <v>11.609110947832477</v>
      </c>
      <c r="L65" s="62">
        <f t="shared" si="34"/>
        <v>2.1307861866274798</v>
      </c>
      <c r="M65" s="62">
        <f t="shared" si="35"/>
        <v>0.1469507714915503</v>
      </c>
      <c r="N65" s="62">
        <f t="shared" si="36"/>
        <v>0.7347538574577517</v>
      </c>
      <c r="O65" s="62">
        <f t="shared" si="37"/>
        <v>25.606171932402646</v>
      </c>
      <c r="P65" s="62">
        <f t="shared" si="38"/>
        <v>18.956649522409993</v>
      </c>
      <c r="Q65" s="62">
        <f t="shared" si="39"/>
        <v>12.821454812637768</v>
      </c>
      <c r="R65" s="62">
        <f t="shared" si="40"/>
        <v>0.4041146216017634</v>
      </c>
      <c r="S65" s="62">
        <f t="shared" si="41"/>
        <v>0.03673769287288758</v>
      </c>
      <c r="T65" s="62">
        <f t="shared" si="42"/>
        <v>14.952240999265246</v>
      </c>
      <c r="U65" s="62">
        <f t="shared" si="43"/>
        <v>5.76781778104335</v>
      </c>
      <c r="V65" s="62">
        <f t="shared" si="44"/>
        <v>18.442321822189566</v>
      </c>
      <c r="W65" s="62">
        <f t="shared" si="45"/>
        <v>3.0124908155767818</v>
      </c>
      <c r="X65" s="62">
        <f t="shared" si="46"/>
        <v>44.56282145481264</v>
      </c>
      <c r="Y65" s="64">
        <f t="shared" si="47"/>
        <v>100.00000000000001</v>
      </c>
      <c r="AA65" s="3" t="s">
        <v>114</v>
      </c>
      <c r="AB65" s="62">
        <f t="shared" si="6"/>
        <v>5.298013245033113</v>
      </c>
      <c r="AC65" s="62">
        <f t="shared" si="7"/>
        <v>8.566545609912412</v>
      </c>
      <c r="AD65" s="62">
        <f t="shared" si="8"/>
        <v>23.328348643452255</v>
      </c>
      <c r="AE65" s="62">
        <f t="shared" si="9"/>
        <v>35.953856013672294</v>
      </c>
      <c r="AF65" s="62">
        <f t="shared" si="10"/>
        <v>20.038453321939755</v>
      </c>
      <c r="AG65" s="62">
        <f t="shared" si="11"/>
        <v>4.913480025635548</v>
      </c>
      <c r="AH65" s="62">
        <f t="shared" si="12"/>
        <v>1.3458662678914763</v>
      </c>
      <c r="AI65" s="62">
        <f t="shared" si="13"/>
        <v>0.5554368724631489</v>
      </c>
      <c r="AJ65" s="63">
        <f t="shared" si="14"/>
        <v>100</v>
      </c>
      <c r="AL65" s="67" t="s">
        <v>119</v>
      </c>
      <c r="AM65" s="76">
        <f t="shared" si="15"/>
        <v>0</v>
      </c>
      <c r="AN65" s="76">
        <f t="shared" si="16"/>
        <v>7.0216877818337995</v>
      </c>
      <c r="AO65" s="76">
        <f t="shared" si="17"/>
        <v>31.14666094051965</v>
      </c>
      <c r="AP65" s="76">
        <f t="shared" si="18"/>
        <v>55.51857418939231</v>
      </c>
      <c r="AQ65" s="76">
        <f t="shared" si="19"/>
        <v>5.336053253167275</v>
      </c>
      <c r="AR65" s="76">
        <f t="shared" si="20"/>
        <v>0.8267124758428174</v>
      </c>
      <c r="AS65" s="76">
        <f t="shared" si="21"/>
        <v>0.1503113592441486</v>
      </c>
      <c r="AT65" s="76">
        <f t="shared" si="22"/>
        <v>100</v>
      </c>
      <c r="AU65" s="79">
        <f t="shared" si="23"/>
        <v>100</v>
      </c>
    </row>
    <row r="66" spans="1:47" ht="15">
      <c r="A66" s="3" t="s">
        <v>112</v>
      </c>
      <c r="B66" s="62">
        <f t="shared" si="24"/>
        <v>16.60206718346253</v>
      </c>
      <c r="C66" s="62">
        <f t="shared" si="25"/>
        <v>0</v>
      </c>
      <c r="D66" s="62">
        <f t="shared" si="26"/>
        <v>0.12919896640826875</v>
      </c>
      <c r="E66" s="62">
        <f t="shared" si="27"/>
        <v>2.810077519379845</v>
      </c>
      <c r="F66" s="62">
        <f t="shared" si="28"/>
        <v>2.0348837209302326</v>
      </c>
      <c r="G66" s="62">
        <f t="shared" si="29"/>
        <v>0.32299741602067183</v>
      </c>
      <c r="H66" s="62">
        <f t="shared" si="30"/>
        <v>0.7428940568475452</v>
      </c>
      <c r="I66" s="62">
        <f t="shared" si="31"/>
        <v>0.09689922480620156</v>
      </c>
      <c r="J66" s="62">
        <f t="shared" si="32"/>
        <v>45.99483204134367</v>
      </c>
      <c r="K66" s="62">
        <f t="shared" si="33"/>
        <v>27.906976744186046</v>
      </c>
      <c r="L66" s="62">
        <f t="shared" si="34"/>
        <v>0.4844961240310077</v>
      </c>
      <c r="M66" s="62">
        <f t="shared" si="35"/>
        <v>0.12919896640826875</v>
      </c>
      <c r="N66" s="62">
        <f t="shared" si="36"/>
        <v>0.16149870801033592</v>
      </c>
      <c r="O66" s="62">
        <f t="shared" si="37"/>
        <v>0.29069767441860467</v>
      </c>
      <c r="P66" s="62">
        <f t="shared" si="38"/>
        <v>2.29328165374677</v>
      </c>
      <c r="Q66" s="62">
        <f t="shared" si="39"/>
        <v>13.404392764857882</v>
      </c>
      <c r="R66" s="62">
        <f t="shared" si="40"/>
        <v>0.29069767441860467</v>
      </c>
      <c r="S66" s="62">
        <f t="shared" si="41"/>
        <v>0</v>
      </c>
      <c r="T66" s="62">
        <f t="shared" si="42"/>
        <v>2.9069767441860463</v>
      </c>
      <c r="U66" s="62">
        <f t="shared" si="43"/>
        <v>4.974160206718346</v>
      </c>
      <c r="V66" s="62">
        <f t="shared" si="44"/>
        <v>75.06459948320413</v>
      </c>
      <c r="W66" s="62">
        <f t="shared" si="45"/>
        <v>0.7751937984496124</v>
      </c>
      <c r="X66" s="62">
        <f t="shared" si="46"/>
        <v>2.5839793281653747</v>
      </c>
      <c r="Y66" s="64">
        <f t="shared" si="47"/>
        <v>100.00000000000001</v>
      </c>
      <c r="AA66" s="3" t="s">
        <v>115</v>
      </c>
      <c r="AB66" s="62">
        <f t="shared" si="6"/>
        <v>5.88235294117647</v>
      </c>
      <c r="AC66" s="62">
        <f t="shared" si="7"/>
        <v>17.647058823529413</v>
      </c>
      <c r="AD66" s="62">
        <f t="shared" si="8"/>
        <v>45.588235294117645</v>
      </c>
      <c r="AE66" s="62">
        <f t="shared" si="9"/>
        <v>25</v>
      </c>
      <c r="AF66" s="62">
        <f t="shared" si="10"/>
        <v>5.147058823529411</v>
      </c>
      <c r="AG66" s="62">
        <f t="shared" si="11"/>
        <v>0.7352941176470588</v>
      </c>
      <c r="AH66" s="62">
        <f t="shared" si="12"/>
        <v>0</v>
      </c>
      <c r="AI66" s="62">
        <f t="shared" si="13"/>
        <v>0</v>
      </c>
      <c r="AJ66" s="63">
        <f t="shared" si="14"/>
        <v>100</v>
      </c>
      <c r="AL66" s="3" t="s">
        <v>48</v>
      </c>
      <c r="AM66" s="62">
        <f t="shared" si="15"/>
        <v>64.6336259548201</v>
      </c>
      <c r="AN66" s="62">
        <f t="shared" si="16"/>
        <v>7.572436033160149</v>
      </c>
      <c r="AO66" s="62">
        <f t="shared" si="17"/>
        <v>11.82234238342644</v>
      </c>
      <c r="AP66" s="62">
        <f t="shared" si="18"/>
        <v>11.803449567582534</v>
      </c>
      <c r="AQ66" s="62">
        <f t="shared" si="19"/>
        <v>3.333604781836838</v>
      </c>
      <c r="AR66" s="62">
        <f t="shared" si="20"/>
        <v>0.6420300004886073</v>
      </c>
      <c r="AS66" s="62">
        <f t="shared" si="21"/>
        <v>0.1925112786853206</v>
      </c>
      <c r="AT66" s="62">
        <f t="shared" si="22"/>
        <v>35.36637404517989</v>
      </c>
      <c r="AU66" s="63">
        <f t="shared" si="23"/>
        <v>100</v>
      </c>
    </row>
    <row r="67" spans="1:47" ht="15">
      <c r="A67" s="3" t="s">
        <v>113</v>
      </c>
      <c r="B67" s="62">
        <f t="shared" si="24"/>
        <v>3.6363636363636362</v>
      </c>
      <c r="C67" s="62">
        <f t="shared" si="25"/>
        <v>0.040048057669203045</v>
      </c>
      <c r="D67" s="62">
        <f t="shared" si="26"/>
        <v>0.016019223067681217</v>
      </c>
      <c r="E67" s="62">
        <f t="shared" si="27"/>
        <v>1.3135762915498597</v>
      </c>
      <c r="F67" s="62">
        <f t="shared" si="28"/>
        <v>0.4725670804965959</v>
      </c>
      <c r="G67" s="62">
        <f t="shared" si="29"/>
        <v>26.39167000400481</v>
      </c>
      <c r="H67" s="62">
        <f t="shared" si="30"/>
        <v>43.13976772126552</v>
      </c>
      <c r="I67" s="62">
        <f t="shared" si="31"/>
        <v>5.911093311974369</v>
      </c>
      <c r="J67" s="62">
        <f t="shared" si="32"/>
        <v>0.31237484981978375</v>
      </c>
      <c r="K67" s="62">
        <f t="shared" si="33"/>
        <v>17.244693632358832</v>
      </c>
      <c r="L67" s="62">
        <f t="shared" si="34"/>
        <v>0.1682018422106528</v>
      </c>
      <c r="M67" s="62">
        <f t="shared" si="35"/>
        <v>0.12014417300760913</v>
      </c>
      <c r="N67" s="62">
        <f t="shared" si="36"/>
        <v>0.2002402883460152</v>
      </c>
      <c r="O67" s="62">
        <f t="shared" si="37"/>
        <v>0.0961153384060873</v>
      </c>
      <c r="P67" s="62">
        <f t="shared" si="38"/>
        <v>0.9371245494593512</v>
      </c>
      <c r="Q67" s="62">
        <f t="shared" si="39"/>
        <v>2.7392871445734883</v>
      </c>
      <c r="R67" s="62">
        <f t="shared" si="40"/>
        <v>0.0961153384060873</v>
      </c>
      <c r="S67" s="62">
        <f t="shared" si="41"/>
        <v>0</v>
      </c>
      <c r="T67" s="62">
        <f t="shared" si="42"/>
        <v>0.8009611533840608</v>
      </c>
      <c r="U67" s="62">
        <f t="shared" si="43"/>
        <v>1.84221065278334</v>
      </c>
      <c r="V67" s="62">
        <f t="shared" si="44"/>
        <v>92.9995995194233</v>
      </c>
      <c r="W67" s="62">
        <f t="shared" si="45"/>
        <v>0.4885863035642772</v>
      </c>
      <c r="X67" s="62">
        <f t="shared" si="46"/>
        <v>1.0332398878654385</v>
      </c>
      <c r="Y67" s="64">
        <f t="shared" si="47"/>
        <v>100</v>
      </c>
      <c r="AA67" s="67" t="s">
        <v>116</v>
      </c>
      <c r="AB67" s="76">
        <f t="shared" si="6"/>
        <v>5.357980041524345</v>
      </c>
      <c r="AC67" s="76">
        <f t="shared" si="7"/>
        <v>7.1930882057464345</v>
      </c>
      <c r="AD67" s="76">
        <f t="shared" si="8"/>
        <v>26.5086062554417</v>
      </c>
      <c r="AE67" s="76">
        <f t="shared" si="9"/>
        <v>24.59982586564865</v>
      </c>
      <c r="AF67" s="76">
        <f t="shared" si="10"/>
        <v>17.955930614158465</v>
      </c>
      <c r="AG67" s="76">
        <f t="shared" si="11"/>
        <v>9.785011050833836</v>
      </c>
      <c r="AH67" s="76">
        <f t="shared" si="12"/>
        <v>6.911794253566406</v>
      </c>
      <c r="AI67" s="76">
        <f t="shared" si="13"/>
        <v>1.6877637130801686</v>
      </c>
      <c r="AJ67" s="79">
        <f t="shared" si="14"/>
        <v>100.00000000000001</v>
      </c>
      <c r="AL67" s="8" t="s">
        <v>164</v>
      </c>
      <c r="AM67"/>
      <c r="AN67" s="8"/>
      <c r="AO67"/>
      <c r="AP67" s="9"/>
      <c r="AQ67" s="9"/>
      <c r="AR67" s="9"/>
      <c r="AS67" s="9"/>
      <c r="AT67" s="9"/>
      <c r="AU67" s="10" t="s">
        <v>18</v>
      </c>
    </row>
    <row r="68" spans="1:47" ht="15">
      <c r="A68" s="3" t="s">
        <v>114</v>
      </c>
      <c r="B68" s="62">
        <f t="shared" si="24"/>
        <v>11.941892757957701</v>
      </c>
      <c r="C68" s="62">
        <f t="shared" si="25"/>
        <v>0.0640888698995941</v>
      </c>
      <c r="D68" s="62">
        <f t="shared" si="26"/>
        <v>0.021362956633198035</v>
      </c>
      <c r="E68" s="62">
        <f t="shared" si="27"/>
        <v>3.097628711813715</v>
      </c>
      <c r="F68" s="62">
        <f t="shared" si="28"/>
        <v>1.4740440076906645</v>
      </c>
      <c r="G68" s="62">
        <f t="shared" si="29"/>
        <v>1.815851313821833</v>
      </c>
      <c r="H68" s="62">
        <f t="shared" si="30"/>
        <v>0.576799829096347</v>
      </c>
      <c r="I68" s="62">
        <f t="shared" si="31"/>
        <v>0.10681478316599018</v>
      </c>
      <c r="J68" s="62">
        <f t="shared" si="32"/>
        <v>15.295876949369793</v>
      </c>
      <c r="K68" s="62">
        <f t="shared" si="33"/>
        <v>60.69215979491561</v>
      </c>
      <c r="L68" s="62">
        <f t="shared" si="34"/>
        <v>0.40589617603076267</v>
      </c>
      <c r="M68" s="62">
        <f t="shared" si="35"/>
        <v>0.10681478316599018</v>
      </c>
      <c r="N68" s="62">
        <f t="shared" si="36"/>
        <v>0.34180730613116855</v>
      </c>
      <c r="O68" s="62">
        <f t="shared" si="37"/>
        <v>0.21362956633198035</v>
      </c>
      <c r="P68" s="62">
        <f t="shared" si="38"/>
        <v>3.8453321939756466</v>
      </c>
      <c r="Q68" s="62">
        <f t="shared" si="39"/>
        <v>9.228797265541552</v>
      </c>
      <c r="R68" s="62">
        <f t="shared" si="40"/>
        <v>0.17090365306558428</v>
      </c>
      <c r="S68" s="62">
        <f t="shared" si="41"/>
        <v>0.021362956633198035</v>
      </c>
      <c r="T68" s="62">
        <f t="shared" si="42"/>
        <v>2.5208288827173684</v>
      </c>
      <c r="U68" s="62">
        <f t="shared" si="43"/>
        <v>4.6571245460371715</v>
      </c>
      <c r="V68" s="62">
        <f t="shared" si="44"/>
        <v>78.48750267036958</v>
      </c>
      <c r="W68" s="62">
        <f t="shared" si="45"/>
        <v>0.8545182653279214</v>
      </c>
      <c r="X68" s="62">
        <f t="shared" si="46"/>
        <v>4.058961760307627</v>
      </c>
      <c r="Y68" s="64">
        <f t="shared" si="47"/>
        <v>100</v>
      </c>
      <c r="AA68" s="3" t="s">
        <v>117</v>
      </c>
      <c r="AB68" s="62">
        <f t="shared" si="6"/>
        <v>5.8034800409416585</v>
      </c>
      <c r="AC68" s="62">
        <f t="shared" si="7"/>
        <v>6.407369498464687</v>
      </c>
      <c r="AD68" s="62">
        <f t="shared" si="8"/>
        <v>21.944728761514842</v>
      </c>
      <c r="AE68" s="62">
        <f t="shared" si="9"/>
        <v>22.210849539406347</v>
      </c>
      <c r="AF68" s="62">
        <f t="shared" si="10"/>
        <v>21.023541453428866</v>
      </c>
      <c r="AG68" s="62">
        <f t="shared" si="11"/>
        <v>11.944728761514842</v>
      </c>
      <c r="AH68" s="62">
        <f t="shared" si="12"/>
        <v>8.526100307062435</v>
      </c>
      <c r="AI68" s="62">
        <f t="shared" si="13"/>
        <v>2.1392016376663254</v>
      </c>
      <c r="AJ68" s="63">
        <f t="shared" si="14"/>
        <v>100.00000000000001</v>
      </c>
      <c r="AL68"/>
      <c r="AM68"/>
      <c r="AN68"/>
      <c r="AO68"/>
      <c r="AP68" s="9"/>
      <c r="AQ68" s="9"/>
      <c r="AR68" s="9"/>
      <c r="AS68" s="9"/>
      <c r="AT68" s="9"/>
      <c r="AU68" s="10" t="s">
        <v>31</v>
      </c>
    </row>
    <row r="69" spans="1:36" ht="15">
      <c r="A69" s="3" t="s">
        <v>115</v>
      </c>
      <c r="B69" s="62">
        <f t="shared" si="24"/>
        <v>53.67647058823529</v>
      </c>
      <c r="C69" s="62">
        <f t="shared" si="25"/>
        <v>0</v>
      </c>
      <c r="D69" s="62">
        <f t="shared" si="26"/>
        <v>0</v>
      </c>
      <c r="E69" s="62">
        <f t="shared" si="27"/>
        <v>4.411764705882353</v>
      </c>
      <c r="F69" s="62">
        <f t="shared" si="28"/>
        <v>2.2058823529411766</v>
      </c>
      <c r="G69" s="62">
        <f t="shared" si="29"/>
        <v>0</v>
      </c>
      <c r="H69" s="62">
        <f t="shared" si="30"/>
        <v>0.7352941176470588</v>
      </c>
      <c r="I69" s="62">
        <f t="shared" si="31"/>
        <v>0</v>
      </c>
      <c r="J69" s="62">
        <f t="shared" si="32"/>
        <v>0.7352941176470588</v>
      </c>
      <c r="K69" s="62">
        <f t="shared" si="33"/>
        <v>29.411764705882355</v>
      </c>
      <c r="L69" s="62">
        <f t="shared" si="34"/>
        <v>0</v>
      </c>
      <c r="M69" s="62">
        <f t="shared" si="35"/>
        <v>0.7352941176470588</v>
      </c>
      <c r="N69" s="62">
        <f t="shared" si="36"/>
        <v>0</v>
      </c>
      <c r="O69" s="62">
        <f t="shared" si="37"/>
        <v>0</v>
      </c>
      <c r="P69" s="62">
        <f t="shared" si="38"/>
        <v>8.088235294117647</v>
      </c>
      <c r="Q69" s="62">
        <f t="shared" si="39"/>
        <v>5.147058823529411</v>
      </c>
      <c r="R69" s="62">
        <f t="shared" si="40"/>
        <v>1.4705882352941175</v>
      </c>
      <c r="S69" s="62">
        <f t="shared" si="41"/>
        <v>0.7352941176470588</v>
      </c>
      <c r="T69" s="62">
        <f t="shared" si="42"/>
        <v>46.32352941176471</v>
      </c>
      <c r="U69" s="62">
        <f t="shared" si="43"/>
        <v>6.61764705882353</v>
      </c>
      <c r="V69" s="62">
        <f t="shared" si="44"/>
        <v>30.88235294117647</v>
      </c>
      <c r="W69" s="62">
        <f t="shared" si="45"/>
        <v>0.7352941176470588</v>
      </c>
      <c r="X69" s="62">
        <f t="shared" si="46"/>
        <v>8.088235294117647</v>
      </c>
      <c r="Y69" s="64">
        <f t="shared" si="47"/>
        <v>100</v>
      </c>
      <c r="AA69" s="3" t="s">
        <v>118</v>
      </c>
      <c r="AB69" s="62">
        <f t="shared" si="6"/>
        <v>4.514628947878318</v>
      </c>
      <c r="AC69" s="62">
        <f t="shared" si="7"/>
        <v>8.680488277465608</v>
      </c>
      <c r="AD69" s="62">
        <f t="shared" si="8"/>
        <v>35.148227087773684</v>
      </c>
      <c r="AE69" s="62">
        <f t="shared" si="9"/>
        <v>29.12226312730091</v>
      </c>
      <c r="AF69" s="62">
        <f t="shared" si="10"/>
        <v>12.148808370470839</v>
      </c>
      <c r="AG69" s="62">
        <f t="shared" si="11"/>
        <v>5.696570432086805</v>
      </c>
      <c r="AH69" s="62">
        <f t="shared" si="12"/>
        <v>3.8558418911063748</v>
      </c>
      <c r="AI69" s="62">
        <f t="shared" si="13"/>
        <v>0.8331718659174578</v>
      </c>
      <c r="AJ69" s="63">
        <f t="shared" si="14"/>
        <v>100.00000000000001</v>
      </c>
    </row>
    <row r="70" spans="1:36" ht="15">
      <c r="A70" s="67" t="s">
        <v>116</v>
      </c>
      <c r="B70" s="76">
        <f t="shared" si="24"/>
        <v>46.18578795793986</v>
      </c>
      <c r="C70" s="76">
        <f t="shared" si="25"/>
        <v>2.471368294153104</v>
      </c>
      <c r="D70" s="76">
        <f t="shared" si="26"/>
        <v>0.3817560779586096</v>
      </c>
      <c r="E70" s="76">
        <f t="shared" si="27"/>
        <v>0.8639742816958007</v>
      </c>
      <c r="F70" s="76">
        <f t="shared" si="28"/>
        <v>4.761904761904762</v>
      </c>
      <c r="G70" s="76">
        <f t="shared" si="29"/>
        <v>0.9242515571629495</v>
      </c>
      <c r="H70" s="76">
        <f t="shared" si="30"/>
        <v>0.1875293014533521</v>
      </c>
      <c r="I70" s="76">
        <f t="shared" si="31"/>
        <v>0.026789900207621727</v>
      </c>
      <c r="J70" s="76">
        <f t="shared" si="32"/>
        <v>0.5291005291005291</v>
      </c>
      <c r="K70" s="76">
        <f t="shared" si="33"/>
        <v>1.2189404594467885</v>
      </c>
      <c r="L70" s="76">
        <f t="shared" si="34"/>
        <v>0.8237894313843681</v>
      </c>
      <c r="M70" s="76">
        <f t="shared" si="35"/>
        <v>31.263813542294557</v>
      </c>
      <c r="N70" s="76">
        <f t="shared" si="36"/>
        <v>2.900006697475052</v>
      </c>
      <c r="O70" s="76">
        <f t="shared" si="37"/>
        <v>0.44203335342575845</v>
      </c>
      <c r="P70" s="76">
        <f t="shared" si="38"/>
        <v>7.018953854396893</v>
      </c>
      <c r="Q70" s="76">
        <f t="shared" si="39"/>
        <v>12.510883396959347</v>
      </c>
      <c r="R70" s="76">
        <f t="shared" si="40"/>
        <v>0.8371843814881789</v>
      </c>
      <c r="S70" s="76">
        <f t="shared" si="41"/>
        <v>0.013394950103810864</v>
      </c>
      <c r="T70" s="76">
        <f t="shared" si="42"/>
        <v>32.82432522938852</v>
      </c>
      <c r="U70" s="76">
        <f t="shared" si="43"/>
        <v>8.479003415712276</v>
      </c>
      <c r="V70" s="76">
        <f t="shared" si="44"/>
        <v>2.886611747371241</v>
      </c>
      <c r="W70" s="76">
        <f t="shared" si="45"/>
        <v>34.987609671153976</v>
      </c>
      <c r="X70" s="76">
        <f t="shared" si="46"/>
        <v>7.46098720782265</v>
      </c>
      <c r="Y70" s="87">
        <f t="shared" si="47"/>
        <v>100.00000000000001</v>
      </c>
      <c r="AA70" s="67" t="s">
        <v>119</v>
      </c>
      <c r="AB70" s="76">
        <f t="shared" si="6"/>
        <v>2.2761434399828215</v>
      </c>
      <c r="AC70" s="76">
        <f t="shared" si="7"/>
        <v>7.547777539188319</v>
      </c>
      <c r="AD70" s="76">
        <f t="shared" si="8"/>
        <v>59.21193901653425</v>
      </c>
      <c r="AE70" s="76">
        <f t="shared" si="9"/>
        <v>25.134206570753705</v>
      </c>
      <c r="AF70" s="76">
        <f t="shared" si="10"/>
        <v>3.9725144943096415</v>
      </c>
      <c r="AG70" s="76">
        <f t="shared" si="11"/>
        <v>1.2347004509340778</v>
      </c>
      <c r="AH70" s="76">
        <f t="shared" si="12"/>
        <v>0.4616706033927421</v>
      </c>
      <c r="AI70" s="76">
        <f t="shared" si="13"/>
        <v>0.1610478849044449</v>
      </c>
      <c r="AJ70" s="79">
        <f t="shared" si="14"/>
        <v>100</v>
      </c>
    </row>
    <row r="71" spans="1:36" ht="15">
      <c r="A71" s="3" t="s">
        <v>117</v>
      </c>
      <c r="B71" s="62">
        <f t="shared" si="24"/>
        <v>43.14227226202661</v>
      </c>
      <c r="C71" s="62">
        <f t="shared" si="25"/>
        <v>2.8249744114636646</v>
      </c>
      <c r="D71" s="62">
        <f t="shared" si="26"/>
        <v>0.255885363357216</v>
      </c>
      <c r="E71" s="62">
        <f t="shared" si="27"/>
        <v>0.8597748208802457</v>
      </c>
      <c r="F71" s="62">
        <f t="shared" si="28"/>
        <v>2.047082906857728</v>
      </c>
      <c r="G71" s="62">
        <f t="shared" si="29"/>
        <v>0.7778915046059366</v>
      </c>
      <c r="H71" s="62">
        <f t="shared" si="30"/>
        <v>0.255885363357216</v>
      </c>
      <c r="I71" s="62">
        <f t="shared" si="31"/>
        <v>0.030706243602865918</v>
      </c>
      <c r="J71" s="62">
        <f t="shared" si="32"/>
        <v>0.6653019447287616</v>
      </c>
      <c r="K71" s="62">
        <f t="shared" si="33"/>
        <v>1.0440122824974412</v>
      </c>
      <c r="L71" s="62">
        <f t="shared" si="34"/>
        <v>1.0030706243602865</v>
      </c>
      <c r="M71" s="62">
        <f t="shared" si="35"/>
        <v>43.12180143295804</v>
      </c>
      <c r="N71" s="62">
        <f t="shared" si="36"/>
        <v>2.6407369498464686</v>
      </c>
      <c r="O71" s="62">
        <f t="shared" si="37"/>
        <v>0.39918116683725685</v>
      </c>
      <c r="P71" s="62">
        <f t="shared" si="38"/>
        <v>0.931422722620266</v>
      </c>
      <c r="Q71" s="62">
        <f t="shared" si="39"/>
        <v>15.772773797338793</v>
      </c>
      <c r="R71" s="62">
        <f t="shared" si="40"/>
        <v>1.0644831115660185</v>
      </c>
      <c r="S71" s="62">
        <f t="shared" si="41"/>
        <v>0</v>
      </c>
      <c r="T71" s="62">
        <f t="shared" si="42"/>
        <v>26.305015353121803</v>
      </c>
      <c r="U71" s="62">
        <f t="shared" si="43"/>
        <v>5.987717502558853</v>
      </c>
      <c r="V71" s="62">
        <f t="shared" si="44"/>
        <v>2.773797338792221</v>
      </c>
      <c r="W71" s="62">
        <f t="shared" si="45"/>
        <v>46.76560900716479</v>
      </c>
      <c r="X71" s="62">
        <f t="shared" si="46"/>
        <v>1.3306038894575232</v>
      </c>
      <c r="Y71" s="64">
        <f t="shared" si="47"/>
        <v>100</v>
      </c>
      <c r="AA71" s="7" t="s">
        <v>48</v>
      </c>
      <c r="AB71" s="62">
        <f t="shared" si="6"/>
        <v>16.614602843694524</v>
      </c>
      <c r="AC71" s="62">
        <f t="shared" si="7"/>
        <v>11.029821332594993</v>
      </c>
      <c r="AD71" s="62">
        <f t="shared" si="8"/>
        <v>28.976693431489114</v>
      </c>
      <c r="AE71" s="62">
        <f t="shared" si="9"/>
        <v>22.854769621655077</v>
      </c>
      <c r="AF71" s="62">
        <f t="shared" si="10"/>
        <v>11.758171957198</v>
      </c>
      <c r="AG71" s="62">
        <f t="shared" si="11"/>
        <v>4.708545741787326</v>
      </c>
      <c r="AH71" s="62">
        <f t="shared" si="12"/>
        <v>2.8544438834508705</v>
      </c>
      <c r="AI71" s="62">
        <f t="shared" si="13"/>
        <v>1.2029511881300998</v>
      </c>
      <c r="AJ71" s="63">
        <f t="shared" si="14"/>
        <v>100</v>
      </c>
    </row>
    <row r="72" spans="1:36" ht="15">
      <c r="A72" s="3" t="s">
        <v>118</v>
      </c>
      <c r="B72" s="62">
        <f t="shared" si="24"/>
        <v>51.94729703545824</v>
      </c>
      <c r="C72" s="62">
        <f t="shared" si="25"/>
        <v>1.801976361170316</v>
      </c>
      <c r="D72" s="62">
        <f t="shared" si="26"/>
        <v>0.620034876961829</v>
      </c>
      <c r="E72" s="62">
        <f t="shared" si="27"/>
        <v>0.8719240457275722</v>
      </c>
      <c r="F72" s="62">
        <f t="shared" si="28"/>
        <v>9.901181941484207</v>
      </c>
      <c r="G72" s="62">
        <f t="shared" si="29"/>
        <v>1.2013175741135438</v>
      </c>
      <c r="H72" s="62">
        <f t="shared" si="30"/>
        <v>0.058128269715171474</v>
      </c>
      <c r="I72" s="62">
        <f t="shared" si="31"/>
        <v>0.019376089905057157</v>
      </c>
      <c r="J72" s="62">
        <f t="shared" si="32"/>
        <v>0.27126525867080026</v>
      </c>
      <c r="K72" s="62">
        <f t="shared" si="33"/>
        <v>1.5500871924045727</v>
      </c>
      <c r="L72" s="62">
        <f t="shared" si="34"/>
        <v>0.48440224762642903</v>
      </c>
      <c r="M72" s="62">
        <f t="shared" si="35"/>
        <v>8.816120906801007</v>
      </c>
      <c r="N72" s="62">
        <f t="shared" si="36"/>
        <v>3.3908157333850033</v>
      </c>
      <c r="O72" s="62">
        <f t="shared" si="37"/>
        <v>0.5231544274365434</v>
      </c>
      <c r="P72" s="62">
        <f t="shared" si="38"/>
        <v>18.542918039139703</v>
      </c>
      <c r="Q72" s="62">
        <f t="shared" si="39"/>
        <v>6.335981398953691</v>
      </c>
      <c r="R72" s="62">
        <f t="shared" si="40"/>
        <v>0.4068978880062003</v>
      </c>
      <c r="S72" s="62">
        <f t="shared" si="41"/>
        <v>0.038752179810114314</v>
      </c>
      <c r="T72" s="62">
        <f t="shared" si="42"/>
        <v>45.16566556868824</v>
      </c>
      <c r="U72" s="62">
        <f t="shared" si="43"/>
        <v>13.195117225343925</v>
      </c>
      <c r="V72" s="62">
        <f t="shared" si="44"/>
        <v>3.1001743848091454</v>
      </c>
      <c r="W72" s="62">
        <f t="shared" si="45"/>
        <v>12.691338887812439</v>
      </c>
      <c r="X72" s="62">
        <f t="shared" si="46"/>
        <v>19.066072466576244</v>
      </c>
      <c r="Y72" s="64">
        <f t="shared" si="47"/>
        <v>99.99999999999999</v>
      </c>
      <c r="AA72" s="8" t="s">
        <v>159</v>
      </c>
      <c r="AB72" s="8"/>
      <c r="AC72"/>
      <c r="AD72" s="9"/>
      <c r="AE72" s="9"/>
      <c r="AF72" s="9"/>
      <c r="AG72" s="9"/>
      <c r="AH72" s="9"/>
      <c r="AI72" s="9"/>
      <c r="AJ72" s="10" t="s">
        <v>18</v>
      </c>
    </row>
    <row r="73" spans="1:36" ht="15">
      <c r="A73" s="67" t="s">
        <v>119</v>
      </c>
      <c r="B73" s="76">
        <f t="shared" si="24"/>
        <v>91.42151599742323</v>
      </c>
      <c r="C73" s="76">
        <f t="shared" si="25"/>
        <v>0.04294610264118531</v>
      </c>
      <c r="D73" s="76">
        <f t="shared" si="26"/>
        <v>0.11810178226325961</v>
      </c>
      <c r="E73" s="76">
        <f t="shared" si="27"/>
        <v>1.1273351943311145</v>
      </c>
      <c r="F73" s="76">
        <f t="shared" si="28"/>
        <v>2.233197337341636</v>
      </c>
      <c r="G73" s="76">
        <f t="shared" si="29"/>
        <v>0.687137642258965</v>
      </c>
      <c r="H73" s="76">
        <f t="shared" si="30"/>
        <v>0.12883830792355594</v>
      </c>
      <c r="I73" s="76">
        <f t="shared" si="31"/>
        <v>0.010736525660296328</v>
      </c>
      <c r="J73" s="76">
        <f t="shared" si="32"/>
        <v>1.2669100279149668</v>
      </c>
      <c r="K73" s="76">
        <f t="shared" si="33"/>
        <v>0.5368262830148164</v>
      </c>
      <c r="L73" s="76">
        <f t="shared" si="34"/>
        <v>0.2898861928280008</v>
      </c>
      <c r="M73" s="76">
        <f t="shared" si="35"/>
        <v>0.09662873094266695</v>
      </c>
      <c r="N73" s="76">
        <f t="shared" si="36"/>
        <v>0.2684131415074082</v>
      </c>
      <c r="O73" s="76">
        <f t="shared" si="37"/>
        <v>0.3543053467897788</v>
      </c>
      <c r="P73" s="76">
        <f t="shared" si="38"/>
        <v>1.4172213871591153</v>
      </c>
      <c r="Q73" s="76">
        <f t="shared" si="39"/>
        <v>25.40261971226111</v>
      </c>
      <c r="R73" s="76">
        <f t="shared" si="40"/>
        <v>1.342065707537041</v>
      </c>
      <c r="S73" s="76">
        <f t="shared" si="41"/>
        <v>0.05368262830148165</v>
      </c>
      <c r="T73" s="76">
        <f t="shared" si="42"/>
        <v>64.6231479493236</v>
      </c>
      <c r="U73" s="76">
        <f t="shared" si="43"/>
        <v>3.5215804165771956</v>
      </c>
      <c r="V73" s="76">
        <f t="shared" si="44"/>
        <v>2.6304487867726003</v>
      </c>
      <c r="W73" s="76">
        <f t="shared" si="45"/>
        <v>0.654928065278076</v>
      </c>
      <c r="X73" s="76">
        <f t="shared" si="46"/>
        <v>1.771526733948894</v>
      </c>
      <c r="Y73" s="87">
        <f t="shared" si="47"/>
        <v>99.99999999999997</v>
      </c>
      <c r="AA73"/>
      <c r="AB73"/>
      <c r="AC73"/>
      <c r="AD73" s="9"/>
      <c r="AE73" s="9"/>
      <c r="AF73" s="9"/>
      <c r="AG73" s="9"/>
      <c r="AH73" s="9"/>
      <c r="AI73" s="9"/>
      <c r="AJ73" s="10" t="s">
        <v>31</v>
      </c>
    </row>
    <row r="74" spans="1:25" ht="15">
      <c r="A74" s="7" t="s">
        <v>48</v>
      </c>
      <c r="B74" s="62">
        <f t="shared" si="24"/>
        <v>71.40702617306471</v>
      </c>
      <c r="C74" s="62">
        <f t="shared" si="25"/>
        <v>1.5120767439209106</v>
      </c>
      <c r="D74" s="62">
        <f t="shared" si="26"/>
        <v>0.66255150735354</v>
      </c>
      <c r="E74" s="62">
        <f t="shared" si="27"/>
        <v>1.266144399745924</v>
      </c>
      <c r="F74" s="62">
        <f t="shared" si="28"/>
        <v>1.5238033192723008</v>
      </c>
      <c r="G74" s="62">
        <f t="shared" si="29"/>
        <v>2.815029560742032</v>
      </c>
      <c r="H74" s="62">
        <f t="shared" si="30"/>
        <v>3.165523868466913</v>
      </c>
      <c r="I74" s="62">
        <f t="shared" si="31"/>
        <v>0.4863271388784834</v>
      </c>
      <c r="J74" s="62">
        <f t="shared" si="32"/>
        <v>1.210117428622616</v>
      </c>
      <c r="K74" s="62">
        <f t="shared" si="33"/>
        <v>3.182462255085588</v>
      </c>
      <c r="L74" s="62">
        <f t="shared" si="34"/>
        <v>4.826788709913842</v>
      </c>
      <c r="M74" s="62">
        <f t="shared" si="35"/>
        <v>4.005602697112331</v>
      </c>
      <c r="N74" s="62">
        <f t="shared" si="36"/>
        <v>1.8374892099219857</v>
      </c>
      <c r="O74" s="62">
        <f t="shared" si="37"/>
        <v>0.7654847798824085</v>
      </c>
      <c r="P74" s="62">
        <f t="shared" si="38"/>
        <v>1.3335722080164172</v>
      </c>
      <c r="Q74" s="62">
        <f t="shared" si="39"/>
        <v>53.336047818368385</v>
      </c>
      <c r="R74" s="62">
        <f t="shared" si="40"/>
        <v>2.4964575970292677</v>
      </c>
      <c r="S74" s="62">
        <f t="shared" si="41"/>
        <v>0.05309532728546068</v>
      </c>
      <c r="T74" s="62">
        <f t="shared" si="42"/>
        <v>15.521425430381603</v>
      </c>
      <c r="U74" s="62">
        <f t="shared" si="43"/>
        <v>4.9645759702926755</v>
      </c>
      <c r="V74" s="62">
        <f t="shared" si="44"/>
        <v>10.859460251795632</v>
      </c>
      <c r="W74" s="62">
        <f t="shared" si="45"/>
        <v>10.66988061694816</v>
      </c>
      <c r="X74" s="62">
        <f t="shared" si="46"/>
        <v>2.099056987898826</v>
      </c>
      <c r="Y74" s="64">
        <f t="shared" si="47"/>
        <v>100.00000000000001</v>
      </c>
    </row>
    <row r="75" spans="1:25" ht="15">
      <c r="A75" s="8" t="s">
        <v>166</v>
      </c>
      <c r="Y75" s="58" t="s">
        <v>18</v>
      </c>
    </row>
    <row r="76" ht="15">
      <c r="Y76" s="58" t="s">
        <v>31</v>
      </c>
    </row>
    <row r="80" spans="38:47" ht="15.75">
      <c r="AL80" s="1" t="s">
        <v>165</v>
      </c>
      <c r="AM80"/>
      <c r="AN80"/>
      <c r="AO80"/>
      <c r="AP80"/>
      <c r="AQ80"/>
      <c r="AR80"/>
      <c r="AS80"/>
      <c r="AT80"/>
      <c r="AU80"/>
    </row>
    <row r="81" spans="38:47" ht="15">
      <c r="AL81" s="17" t="s">
        <v>158</v>
      </c>
      <c r="AM81" s="94"/>
      <c r="AN81" s="263" t="s">
        <v>28</v>
      </c>
      <c r="AO81" s="264"/>
      <c r="AP81" s="264"/>
      <c r="AQ81" s="264"/>
      <c r="AR81" s="264"/>
      <c r="AS81" s="264"/>
      <c r="AT81" s="54"/>
      <c r="AU81" s="90"/>
    </row>
    <row r="82" spans="38:47" ht="15">
      <c r="AL82" s="18"/>
      <c r="AM82" s="92" t="s">
        <v>33</v>
      </c>
      <c r="AN82" s="92" t="s">
        <v>97</v>
      </c>
      <c r="AO82" s="91" t="s">
        <v>22</v>
      </c>
      <c r="AP82" s="91" t="s">
        <v>23</v>
      </c>
      <c r="AQ82" s="91" t="s">
        <v>24</v>
      </c>
      <c r="AR82" s="91" t="s">
        <v>25</v>
      </c>
      <c r="AS82" s="93" t="s">
        <v>59</v>
      </c>
      <c r="AT82" s="93" t="s">
        <v>160</v>
      </c>
      <c r="AU82" s="91" t="s">
        <v>48</v>
      </c>
    </row>
    <row r="83" spans="38:47" ht="15">
      <c r="AL83" s="82" t="s">
        <v>98</v>
      </c>
      <c r="AM83" s="76">
        <f>(AM4/AM27)*100</f>
        <v>100</v>
      </c>
      <c r="AN83" s="76">
        <f aca="true" t="shared" si="48" ref="AN83:AU83">(AN4/AN27)*100</f>
        <v>32.57624639738461</v>
      </c>
      <c r="AO83" s="76">
        <f t="shared" si="48"/>
        <v>42.52217997465146</v>
      </c>
      <c r="AP83" s="76">
        <f t="shared" si="48"/>
        <v>35.46197152003533</v>
      </c>
      <c r="AQ83" s="76">
        <f t="shared" si="48"/>
        <v>29.353136603478603</v>
      </c>
      <c r="AR83" s="76">
        <f t="shared" si="48"/>
        <v>26.433282597666157</v>
      </c>
      <c r="AS83" s="76">
        <f t="shared" si="48"/>
        <v>27.580372250423014</v>
      </c>
      <c r="AT83" s="76">
        <f t="shared" si="48"/>
        <v>36.421578108737904</v>
      </c>
      <c r="AU83" s="76">
        <f t="shared" si="48"/>
        <v>77.5146175019137</v>
      </c>
    </row>
    <row r="84" spans="38:47" ht="15">
      <c r="AL84" s="68" t="s">
        <v>99</v>
      </c>
      <c r="AM84" s="77">
        <f>(AM5/AM27)*100</f>
        <v>100</v>
      </c>
      <c r="AN84" s="77">
        <f aca="true" t="shared" si="49" ref="AN84:AU84">(AN5/AN27)*100</f>
        <v>0</v>
      </c>
      <c r="AO84" s="77">
        <f t="shared" si="49"/>
        <v>0</v>
      </c>
      <c r="AP84" s="77">
        <f t="shared" si="49"/>
        <v>0</v>
      </c>
      <c r="AQ84" s="77">
        <f t="shared" si="49"/>
        <v>0</v>
      </c>
      <c r="AR84" s="77">
        <f t="shared" si="49"/>
        <v>0</v>
      </c>
      <c r="AS84" s="77">
        <f t="shared" si="49"/>
        <v>0</v>
      </c>
      <c r="AT84" s="77">
        <f t="shared" si="49"/>
        <v>0</v>
      </c>
      <c r="AU84" s="77">
        <f t="shared" si="49"/>
        <v>64.6336259548201</v>
      </c>
    </row>
    <row r="85" spans="38:47" ht="15">
      <c r="AL85" s="68" t="s">
        <v>100</v>
      </c>
      <c r="AM85" s="77">
        <f>(AM6/AM27)*100</f>
        <v>0</v>
      </c>
      <c r="AN85" s="77">
        <f aca="true" t="shared" si="50" ref="AN85:AU85">(AN6/AN27)*100</f>
        <v>4.133866735492752</v>
      </c>
      <c r="AO85" s="77">
        <f t="shared" si="50"/>
        <v>7.841516504105361</v>
      </c>
      <c r="AP85" s="77">
        <f t="shared" si="50"/>
        <v>4.467932442874489</v>
      </c>
      <c r="AQ85" s="77">
        <f t="shared" si="50"/>
        <v>2.3842094977525896</v>
      </c>
      <c r="AR85" s="77">
        <f t="shared" si="50"/>
        <v>3.9066463723997966</v>
      </c>
      <c r="AS85" s="77">
        <f t="shared" si="50"/>
        <v>5.752961082910321</v>
      </c>
      <c r="AT85" s="77">
        <f t="shared" si="50"/>
        <v>5.324528197618193</v>
      </c>
      <c r="AU85" s="77">
        <f t="shared" si="50"/>
        <v>1.883092558510725</v>
      </c>
    </row>
    <row r="86" spans="38:47" ht="15">
      <c r="AL86" s="68" t="s">
        <v>101</v>
      </c>
      <c r="AM86" s="77">
        <f>(AM7/AM27)*100</f>
        <v>0</v>
      </c>
      <c r="AN86" s="77">
        <f aca="true" t="shared" si="51" ref="AN86:AU86">(AN7/AN27)*100</f>
        <v>28.44237966189186</v>
      </c>
      <c r="AO86" s="77">
        <f t="shared" si="51"/>
        <v>34.680663470546094</v>
      </c>
      <c r="AP86" s="77">
        <f t="shared" si="51"/>
        <v>30.994039077160835</v>
      </c>
      <c r="AQ86" s="77">
        <f t="shared" si="51"/>
        <v>26.96892710572601</v>
      </c>
      <c r="AR86" s="77">
        <f t="shared" si="51"/>
        <v>22.526636225266362</v>
      </c>
      <c r="AS86" s="77">
        <f t="shared" si="51"/>
        <v>21.82741116751269</v>
      </c>
      <c r="AT86" s="77">
        <f t="shared" si="51"/>
        <v>31.097049911119708</v>
      </c>
      <c r="AU86" s="77">
        <f t="shared" si="51"/>
        <v>10.997898988582875</v>
      </c>
    </row>
    <row r="87" spans="38:47" ht="15">
      <c r="AL87" s="73" t="s">
        <v>102</v>
      </c>
      <c r="AM87" s="78">
        <f>(AM8/AM27)*100</f>
        <v>0</v>
      </c>
      <c r="AN87" s="78">
        <f aca="true" t="shared" si="52" ref="AN87:AU87">(AN8/AN27)*100</f>
        <v>24.936550952811114</v>
      </c>
      <c r="AO87" s="78">
        <f t="shared" si="52"/>
        <v>30.280487132859424</v>
      </c>
      <c r="AP87" s="78">
        <f t="shared" si="52"/>
        <v>27.102881112705596</v>
      </c>
      <c r="AQ87" s="78">
        <f t="shared" si="52"/>
        <v>23.00175884307211</v>
      </c>
      <c r="AR87" s="78">
        <f t="shared" si="52"/>
        <v>18.72146118721461</v>
      </c>
      <c r="AS87" s="78">
        <f t="shared" si="52"/>
        <v>19.289340101522843</v>
      </c>
      <c r="AT87" s="78">
        <f t="shared" si="52"/>
        <v>27.12000221049432</v>
      </c>
      <c r="AU87" s="78">
        <f t="shared" si="52"/>
        <v>9.591361422824477</v>
      </c>
    </row>
    <row r="88" spans="38:47" ht="15">
      <c r="AL88" s="3" t="s">
        <v>103</v>
      </c>
      <c r="AM88" s="62">
        <f>(AM9/AM27)*100</f>
        <v>0</v>
      </c>
      <c r="AN88" s="62">
        <f aca="true" t="shared" si="53" ref="AN88:AU88">(AN9/AN27)*100</f>
        <v>19.727276637845744</v>
      </c>
      <c r="AO88" s="62">
        <f t="shared" si="53"/>
        <v>15.85110486581804</v>
      </c>
      <c r="AP88" s="62">
        <f t="shared" si="53"/>
        <v>15.514957500827906</v>
      </c>
      <c r="AQ88" s="62">
        <f t="shared" si="53"/>
        <v>13.728747312878639</v>
      </c>
      <c r="AR88" s="62">
        <f t="shared" si="53"/>
        <v>9.28462709284627</v>
      </c>
      <c r="AS88" s="62">
        <f t="shared" si="53"/>
        <v>12.521150592216582</v>
      </c>
      <c r="AT88" s="62">
        <f t="shared" si="53"/>
        <v>16.231475597063728</v>
      </c>
      <c r="AU88" s="62">
        <f t="shared" si="53"/>
        <v>5.740484372709654</v>
      </c>
    </row>
    <row r="89" spans="38:47" ht="15">
      <c r="AL89" s="3" t="s">
        <v>104</v>
      </c>
      <c r="AM89" s="62">
        <f>(AM10/AM27)*100</f>
        <v>0</v>
      </c>
      <c r="AN89" s="62">
        <f aca="true" t="shared" si="54" ref="AN89:AU89">(AN10/AN27)*100</f>
        <v>5.209274314965372</v>
      </c>
      <c r="AO89" s="62">
        <f t="shared" si="54"/>
        <v>14.429382267041385</v>
      </c>
      <c r="AP89" s="62">
        <f t="shared" si="54"/>
        <v>11.58792361187769</v>
      </c>
      <c r="AQ89" s="62">
        <f t="shared" si="54"/>
        <v>9.273011530193473</v>
      </c>
      <c r="AR89" s="62">
        <f t="shared" si="54"/>
        <v>9.43683409436834</v>
      </c>
      <c r="AS89" s="62">
        <f t="shared" si="54"/>
        <v>6.768189509306261</v>
      </c>
      <c r="AT89" s="62">
        <f t="shared" si="54"/>
        <v>10.888526613430596</v>
      </c>
      <c r="AU89" s="62">
        <f t="shared" si="54"/>
        <v>3.8508770501148226</v>
      </c>
    </row>
    <row r="90" spans="38:47" ht="15">
      <c r="AL90" s="73" t="s">
        <v>105</v>
      </c>
      <c r="AM90" s="78">
        <f>(AM11/AM27)*100</f>
        <v>0</v>
      </c>
      <c r="AN90" s="78">
        <f aca="true" t="shared" si="55" ref="AN90:AU90">(AN11/AN27)*100</f>
        <v>3.505828709080742</v>
      </c>
      <c r="AO90" s="78">
        <f t="shared" si="55"/>
        <v>4.40017633768667</v>
      </c>
      <c r="AP90" s="78">
        <f t="shared" si="55"/>
        <v>3.8911579644552377</v>
      </c>
      <c r="AQ90" s="78">
        <f t="shared" si="55"/>
        <v>3.9671682626538987</v>
      </c>
      <c r="AR90" s="78">
        <f t="shared" si="55"/>
        <v>3.8051750380517504</v>
      </c>
      <c r="AS90" s="78">
        <f t="shared" si="55"/>
        <v>2.5380710659898478</v>
      </c>
      <c r="AT90" s="78">
        <f t="shared" si="55"/>
        <v>3.977047700625386</v>
      </c>
      <c r="AU90" s="78">
        <f t="shared" si="55"/>
        <v>1.4065375657583998</v>
      </c>
    </row>
    <row r="91" spans="38:47" ht="15">
      <c r="AL91" s="67" t="s">
        <v>106</v>
      </c>
      <c r="AM91" s="76">
        <f>(AM12/AM27)*100</f>
        <v>0</v>
      </c>
      <c r="AN91" s="76">
        <f aca="true" t="shared" si="56" ref="AN91:AU91">(AN12/AN27)*100</f>
        <v>21.718931475029034</v>
      </c>
      <c r="AO91" s="76">
        <f t="shared" si="56"/>
        <v>20.504766628092796</v>
      </c>
      <c r="AP91" s="76">
        <f t="shared" si="56"/>
        <v>18.329837730433823</v>
      </c>
      <c r="AQ91" s="76">
        <f t="shared" si="56"/>
        <v>18.36036740277506</v>
      </c>
      <c r="AR91" s="76">
        <f t="shared" si="56"/>
        <v>25.976661593099948</v>
      </c>
      <c r="AS91" s="76">
        <f t="shared" si="56"/>
        <v>23.688663282571913</v>
      </c>
      <c r="AT91" s="76">
        <f t="shared" si="56"/>
        <v>19.953395411382203</v>
      </c>
      <c r="AU91" s="76">
        <f t="shared" si="56"/>
        <v>7.0567924559031905</v>
      </c>
    </row>
    <row r="92" spans="38:47" ht="15">
      <c r="AL92" s="3" t="s">
        <v>107</v>
      </c>
      <c r="AM92" s="62">
        <f>(AM13/AM27)*100</f>
        <v>0</v>
      </c>
      <c r="AN92" s="62">
        <f aca="true" t="shared" si="57" ref="AN92:AU92">(AN13/AN27)*100</f>
        <v>1.4582526777648728</v>
      </c>
      <c r="AO92" s="62">
        <f t="shared" si="57"/>
        <v>1.3914145588802556</v>
      </c>
      <c r="AP92" s="62">
        <f t="shared" si="57"/>
        <v>1.6668506457666408</v>
      </c>
      <c r="AQ92" s="62">
        <f t="shared" si="57"/>
        <v>1.5243306624975572</v>
      </c>
      <c r="AR92" s="62">
        <f t="shared" si="57"/>
        <v>1.21765601217656</v>
      </c>
      <c r="AS92" s="62">
        <f t="shared" si="57"/>
        <v>1.015228426395939</v>
      </c>
      <c r="AT92" s="62">
        <f t="shared" si="57"/>
        <v>1.5049782174205373</v>
      </c>
      <c r="AU92" s="62">
        <f t="shared" si="57"/>
        <v>0.5322562256714278</v>
      </c>
    </row>
    <row r="93" spans="38:47" ht="15">
      <c r="AL93" s="3" t="s">
        <v>108</v>
      </c>
      <c r="AM93" s="62">
        <f>(AM14/AM27)*100</f>
        <v>0</v>
      </c>
      <c r="AN93" s="62">
        <f aca="true" t="shared" si="58" ref="AN93:AU93">(AN14/AN27)*100</f>
        <v>5.067320514474986</v>
      </c>
      <c r="AO93" s="62">
        <f t="shared" si="58"/>
        <v>4.083319556951563</v>
      </c>
      <c r="AP93" s="62">
        <f t="shared" si="58"/>
        <v>4.053979467932443</v>
      </c>
      <c r="AQ93" s="62">
        <f t="shared" si="58"/>
        <v>5.550127027555208</v>
      </c>
      <c r="AR93" s="62">
        <f t="shared" si="58"/>
        <v>7.813292744799593</v>
      </c>
      <c r="AS93" s="62">
        <f t="shared" si="58"/>
        <v>6.429780033840947</v>
      </c>
      <c r="AT93" s="62">
        <f t="shared" si="58"/>
        <v>4.502961141351902</v>
      </c>
      <c r="AU93" s="62">
        <f t="shared" si="58"/>
        <v>1.592534080359615</v>
      </c>
    </row>
    <row r="94" spans="38:47" ht="15">
      <c r="AL94" s="3" t="s">
        <v>109</v>
      </c>
      <c r="AM94" s="62">
        <f>(AM15/AM27)*100</f>
        <v>0</v>
      </c>
      <c r="AN94" s="62">
        <f aca="true" t="shared" si="59" ref="AN94:AU94">(AN15/AN27)*100</f>
        <v>14.913752312126297</v>
      </c>
      <c r="AO94" s="62">
        <f t="shared" si="59"/>
        <v>14.908800352675373</v>
      </c>
      <c r="AP94" s="62">
        <f t="shared" si="59"/>
        <v>12.495860470250578</v>
      </c>
      <c r="AQ94" s="62">
        <f t="shared" si="59"/>
        <v>11.119796755911667</v>
      </c>
      <c r="AR94" s="62">
        <f t="shared" si="59"/>
        <v>16.84424150177575</v>
      </c>
      <c r="AS94" s="62">
        <f t="shared" si="59"/>
        <v>16.07445008460237</v>
      </c>
      <c r="AT94" s="62">
        <f t="shared" si="59"/>
        <v>13.788879371482782</v>
      </c>
      <c r="AU94" s="62">
        <f t="shared" si="59"/>
        <v>4.87662665515725</v>
      </c>
    </row>
    <row r="95" spans="38:47" ht="15">
      <c r="AL95" s="3" t="s">
        <v>131</v>
      </c>
      <c r="AM95" s="62">
        <f>(AM16/AM27)*100</f>
        <v>0</v>
      </c>
      <c r="AN95" s="62">
        <f aca="true" t="shared" si="60" ref="AN95:AU95">(AN16/AN27)*100</f>
        <v>0.27960597066288123</v>
      </c>
      <c r="AO95" s="62">
        <f t="shared" si="60"/>
        <v>0.12123215958560643</v>
      </c>
      <c r="AP95" s="62">
        <f t="shared" si="60"/>
        <v>0.1131471464841594</v>
      </c>
      <c r="AQ95" s="62">
        <f t="shared" si="60"/>
        <v>0.16611295681063123</v>
      </c>
      <c r="AR95" s="62">
        <f t="shared" si="60"/>
        <v>0.10147133434804667</v>
      </c>
      <c r="AS95" s="62">
        <f t="shared" si="60"/>
        <v>0.1692047377326565</v>
      </c>
      <c r="AT95" s="62">
        <f t="shared" si="60"/>
        <v>0.15657668112698367</v>
      </c>
      <c r="AU95" s="62">
        <f t="shared" si="60"/>
        <v>0.05537549471489764</v>
      </c>
    </row>
    <row r="96" spans="38:47" ht="15">
      <c r="AL96" s="67" t="s">
        <v>110</v>
      </c>
      <c r="AM96" s="76">
        <f>(AM17/AM27)*100</f>
        <v>0</v>
      </c>
      <c r="AN96" s="76">
        <f aca="true" t="shared" si="61" ref="AN96:AU96">(AN17/AN27)*100</f>
        <v>25.934529186561704</v>
      </c>
      <c r="AO96" s="76">
        <f t="shared" si="61"/>
        <v>17.159861134071747</v>
      </c>
      <c r="AP96" s="76">
        <f t="shared" si="61"/>
        <v>18.672038856385914</v>
      </c>
      <c r="AQ96" s="76">
        <f t="shared" si="61"/>
        <v>32.09888606605433</v>
      </c>
      <c r="AR96" s="76">
        <f t="shared" si="61"/>
        <v>31.608320649416537</v>
      </c>
      <c r="AS96" s="76">
        <f t="shared" si="61"/>
        <v>31.979695431472084</v>
      </c>
      <c r="AT96" s="76">
        <f t="shared" si="61"/>
        <v>21.29442863326978</v>
      </c>
      <c r="AU96" s="76">
        <f t="shared" si="61"/>
        <v>7.531067281226078</v>
      </c>
    </row>
    <row r="97" spans="38:47" ht="15">
      <c r="AL97" s="3" t="s">
        <v>111</v>
      </c>
      <c r="AM97" s="62">
        <f>(AM18/AM27)*100</f>
        <v>0</v>
      </c>
      <c r="AN97" s="62">
        <f aca="true" t="shared" si="62" ref="AN97:AU97">(AN18/AN27)*100</f>
        <v>4.120961844539081</v>
      </c>
      <c r="AO97" s="62">
        <f t="shared" si="62"/>
        <v>1.8653220918058082</v>
      </c>
      <c r="AP97" s="62">
        <f t="shared" si="62"/>
        <v>1.813114030246164</v>
      </c>
      <c r="AQ97" s="62">
        <f t="shared" si="62"/>
        <v>2.911862419386359</v>
      </c>
      <c r="AR97" s="62">
        <f t="shared" si="62"/>
        <v>5.073566717402334</v>
      </c>
      <c r="AS97" s="62">
        <f t="shared" si="62"/>
        <v>5.414551607445008</v>
      </c>
      <c r="AT97" s="62">
        <f t="shared" si="62"/>
        <v>2.5070689766332332</v>
      </c>
      <c r="AU97" s="62">
        <f t="shared" si="62"/>
        <v>0.8866593918467728</v>
      </c>
    </row>
    <row r="98" spans="38:47" ht="15">
      <c r="AL98" s="3" t="s">
        <v>112</v>
      </c>
      <c r="AM98" s="62">
        <f>(AM19/AM27)*100</f>
        <v>0</v>
      </c>
      <c r="AN98" s="62">
        <f aca="true" t="shared" si="63" ref="AN98:AU98">(AN19/AN27)*100</f>
        <v>4.095152062631737</v>
      </c>
      <c r="AO98" s="62">
        <f t="shared" si="63"/>
        <v>2.286879374001212</v>
      </c>
      <c r="AP98" s="62">
        <f t="shared" si="63"/>
        <v>2.4423225521580747</v>
      </c>
      <c r="AQ98" s="62">
        <f t="shared" si="63"/>
        <v>3.4199726402188784</v>
      </c>
      <c r="AR98" s="62">
        <f t="shared" si="63"/>
        <v>2.73972602739726</v>
      </c>
      <c r="AS98" s="62">
        <f t="shared" si="63"/>
        <v>4.230118443316413</v>
      </c>
      <c r="AT98" s="62">
        <f t="shared" si="63"/>
        <v>2.851537675112597</v>
      </c>
      <c r="AU98" s="62">
        <f t="shared" si="63"/>
        <v>1.0084854802195475</v>
      </c>
    </row>
    <row r="99" spans="38:47" ht="15">
      <c r="AL99" s="3" t="s">
        <v>113</v>
      </c>
      <c r="AM99" s="62">
        <f>(AM20/AM27)*100</f>
        <v>0</v>
      </c>
      <c r="AN99" s="62">
        <f aca="true" t="shared" si="64" ref="AN99:AU99">(AN20/AN27)*100</f>
        <v>13.145782251473308</v>
      </c>
      <c r="AO99" s="62">
        <f t="shared" si="64"/>
        <v>9.69030693778586</v>
      </c>
      <c r="AP99" s="62">
        <f t="shared" si="64"/>
        <v>9.871398609118003</v>
      </c>
      <c r="AQ99" s="62">
        <f t="shared" si="64"/>
        <v>17.9890560875513</v>
      </c>
      <c r="AR99" s="62">
        <f t="shared" si="64"/>
        <v>19.17808219178082</v>
      </c>
      <c r="AS99" s="62">
        <f t="shared" si="64"/>
        <v>19.627749576988155</v>
      </c>
      <c r="AT99" s="62">
        <f t="shared" si="64"/>
        <v>11.499175669825831</v>
      </c>
      <c r="AU99" s="62">
        <f t="shared" si="64"/>
        <v>4.066841479502924</v>
      </c>
    </row>
    <row r="100" spans="38:47" ht="15">
      <c r="AL100" s="3" t="s">
        <v>114</v>
      </c>
      <c r="AM100" s="62">
        <f>(AM21/AM27)*100</f>
        <v>0</v>
      </c>
      <c r="AN100" s="62">
        <f aca="true" t="shared" si="65" ref="AN100:AU100">(AN21/AN27)*100</f>
        <v>4.490902051877662</v>
      </c>
      <c r="AO100" s="62">
        <f t="shared" si="65"/>
        <v>3.1630572546426405</v>
      </c>
      <c r="AP100" s="62">
        <f t="shared" si="65"/>
        <v>4.409979026382603</v>
      </c>
      <c r="AQ100" s="62">
        <f t="shared" si="65"/>
        <v>7.660738714090288</v>
      </c>
      <c r="AR100" s="62">
        <f t="shared" si="65"/>
        <v>4.616945712836124</v>
      </c>
      <c r="AS100" s="62">
        <f t="shared" si="65"/>
        <v>2.707275803722504</v>
      </c>
      <c r="AT100" s="62">
        <f t="shared" si="65"/>
        <v>4.311384966796533</v>
      </c>
      <c r="AU100" s="62">
        <f t="shared" si="65"/>
        <v>1.5247805338849167</v>
      </c>
    </row>
    <row r="101" spans="38:47" ht="15">
      <c r="AL101" s="3" t="s">
        <v>115</v>
      </c>
      <c r="AM101" s="62">
        <f>(AM22/AM27)*100</f>
        <v>0</v>
      </c>
      <c r="AN101" s="62">
        <f aca="true" t="shared" si="66" ref="AN101:AU101">(AN22/AN27)*100</f>
        <v>0.08173097603991913</v>
      </c>
      <c r="AO101" s="62">
        <f t="shared" si="66"/>
        <v>0.15429547583622635</v>
      </c>
      <c r="AP101" s="62">
        <f t="shared" si="66"/>
        <v>0.13522463848106855</v>
      </c>
      <c r="AQ101" s="62">
        <f t="shared" si="66"/>
        <v>0.1172562048075044</v>
      </c>
      <c r="AR101" s="62">
        <f t="shared" si="66"/>
        <v>0</v>
      </c>
      <c r="AS101" s="62">
        <f t="shared" si="66"/>
        <v>0</v>
      </c>
      <c r="AT101" s="62">
        <f t="shared" si="66"/>
        <v>0.12526134490158694</v>
      </c>
      <c r="AU101" s="62">
        <f t="shared" si="66"/>
        <v>0.04430039577191811</v>
      </c>
    </row>
    <row r="102" spans="38:47" ht="15">
      <c r="AL102" s="67" t="s">
        <v>116</v>
      </c>
      <c r="AM102" s="76">
        <f>(AM23/AM27)*100</f>
        <v>0</v>
      </c>
      <c r="AN102" s="76">
        <f aca="true" t="shared" si="67" ref="AN102:AU102">(AN23/AN27)*100</f>
        <v>16.957026713124275</v>
      </c>
      <c r="AO102" s="76">
        <f t="shared" si="67"/>
        <v>11.820135559596627</v>
      </c>
      <c r="AP102" s="76">
        <f t="shared" si="67"/>
        <v>13.265813003642787</v>
      </c>
      <c r="AQ102" s="76">
        <f t="shared" si="67"/>
        <v>15.3312487785812</v>
      </c>
      <c r="AR102" s="76">
        <f t="shared" si="67"/>
        <v>12.075088787417554</v>
      </c>
      <c r="AS102" s="76">
        <f t="shared" si="67"/>
        <v>14.382402707275805</v>
      </c>
      <c r="AT102" s="76">
        <f t="shared" si="67"/>
        <v>13.752037799452902</v>
      </c>
      <c r="AU102" s="76">
        <f t="shared" si="67"/>
        <v>4.863597126989038</v>
      </c>
    </row>
    <row r="103" spans="38:47" ht="15">
      <c r="AL103" s="3" t="s">
        <v>117</v>
      </c>
      <c r="AM103" s="62">
        <f>(AM24/AM27)*100</f>
        <v>0</v>
      </c>
      <c r="AN103" s="62">
        <f aca="true" t="shared" si="68" ref="AN103:AU103">(AN24/AN27)*100</f>
        <v>12.90058932335355</v>
      </c>
      <c r="AO103" s="62">
        <f t="shared" si="68"/>
        <v>7.629360224830551</v>
      </c>
      <c r="AP103" s="62">
        <f t="shared" si="68"/>
        <v>7.867866210398498</v>
      </c>
      <c r="AQ103" s="62">
        <f t="shared" si="68"/>
        <v>9.243697478991598</v>
      </c>
      <c r="AR103" s="62">
        <f t="shared" si="68"/>
        <v>7.356671740233383</v>
      </c>
      <c r="AS103" s="62">
        <f t="shared" si="68"/>
        <v>10.152284263959391</v>
      </c>
      <c r="AT103" s="62">
        <f t="shared" si="68"/>
        <v>8.998553968297827</v>
      </c>
      <c r="AU103" s="62">
        <f t="shared" si="68"/>
        <v>3.182462255085588</v>
      </c>
    </row>
    <row r="104" spans="38:47" ht="15">
      <c r="AL104" s="3" t="s">
        <v>118</v>
      </c>
      <c r="AM104" s="62">
        <f>(AM25/AM27)*100</f>
        <v>0</v>
      </c>
      <c r="AN104" s="62">
        <f aca="true" t="shared" si="69" ref="AN104:AU104">(AN25/AN27)*100</f>
        <v>4.056437389770723</v>
      </c>
      <c r="AO104" s="62">
        <f t="shared" si="69"/>
        <v>4.1907753347660766</v>
      </c>
      <c r="AP104" s="62">
        <f t="shared" si="69"/>
        <v>5.397946793244287</v>
      </c>
      <c r="AQ104" s="62">
        <f t="shared" si="69"/>
        <v>6.087551299589603</v>
      </c>
      <c r="AR104" s="62">
        <f t="shared" si="69"/>
        <v>4.71841704718417</v>
      </c>
      <c r="AS104" s="62">
        <f t="shared" si="69"/>
        <v>4.230118443316413</v>
      </c>
      <c r="AT104" s="62">
        <f t="shared" si="69"/>
        <v>4.753483831155076</v>
      </c>
      <c r="AU104" s="62">
        <f t="shared" si="69"/>
        <v>1.6811348719034513</v>
      </c>
    </row>
    <row r="105" spans="38:47" ht="15">
      <c r="AL105" s="67" t="s">
        <v>119</v>
      </c>
      <c r="AM105" s="76">
        <f>(AM26/AM27)*100</f>
        <v>0</v>
      </c>
      <c r="AN105" s="76">
        <f aca="true" t="shared" si="70" ref="AN105:AU105">(AN26/AN27)*100</f>
        <v>2.813266227900374</v>
      </c>
      <c r="AO105" s="76">
        <f t="shared" si="70"/>
        <v>7.99305670358737</v>
      </c>
      <c r="AP105" s="76">
        <f t="shared" si="70"/>
        <v>14.27033888950215</v>
      </c>
      <c r="AQ105" s="76">
        <f t="shared" si="70"/>
        <v>4.856361149110807</v>
      </c>
      <c r="AR105" s="76">
        <f t="shared" si="70"/>
        <v>3.9066463723997966</v>
      </c>
      <c r="AS105" s="76">
        <f t="shared" si="70"/>
        <v>2.3688663282571913</v>
      </c>
      <c r="AT105" s="76">
        <f t="shared" si="70"/>
        <v>8.578560047157211</v>
      </c>
      <c r="AU105" s="76">
        <f t="shared" si="70"/>
        <v>3.03392563396798</v>
      </c>
    </row>
    <row r="106" spans="38:47" ht="15">
      <c r="AL106" s="3" t="s">
        <v>48</v>
      </c>
      <c r="AM106" s="62">
        <f>AM84+AM85+AM88+AM89+AM90+AM92+AM93+AM94+AM95+AM97+AM98+AM99+AM100+AM101+AM103+AM104+AM105</f>
        <v>100</v>
      </c>
      <c r="AN106" s="62">
        <f aca="true" t="shared" si="71" ref="AN106:AU106">AN84+AN85+AN88+AN89+AN90+AN92+AN93+AN94+AN95+AN97+AN98+AN99+AN100+AN101+AN103+AN104+AN105</f>
        <v>100</v>
      </c>
      <c r="AO106" s="62">
        <f t="shared" si="71"/>
        <v>100</v>
      </c>
      <c r="AP106" s="62">
        <f t="shared" si="71"/>
        <v>100</v>
      </c>
      <c r="AQ106" s="62">
        <f t="shared" si="71"/>
        <v>100</v>
      </c>
      <c r="AR106" s="62">
        <f t="shared" si="71"/>
        <v>100</v>
      </c>
      <c r="AS106" s="62">
        <f t="shared" si="71"/>
        <v>100</v>
      </c>
      <c r="AT106" s="62">
        <f t="shared" si="71"/>
        <v>100</v>
      </c>
      <c r="AU106" s="62">
        <f t="shared" si="71"/>
        <v>100</v>
      </c>
    </row>
    <row r="107" spans="38:47" ht="15">
      <c r="AL107" s="8" t="s">
        <v>164</v>
      </c>
      <c r="AM107"/>
      <c r="AN107" s="8"/>
      <c r="AO107"/>
      <c r="AP107" s="9"/>
      <c r="AQ107" s="9"/>
      <c r="AR107" s="9"/>
      <c r="AS107" s="9"/>
      <c r="AT107" s="9"/>
      <c r="AU107" s="10" t="s">
        <v>18</v>
      </c>
    </row>
    <row r="108" spans="38:47" ht="15">
      <c r="AL108"/>
      <c r="AM108"/>
      <c r="AN108" s="96"/>
      <c r="AO108"/>
      <c r="AP108" s="9"/>
      <c r="AQ108" s="9"/>
      <c r="AR108" s="9"/>
      <c r="AS108" s="9"/>
      <c r="AT108" s="9"/>
      <c r="AU108" s="10" t="s">
        <v>31</v>
      </c>
    </row>
  </sheetData>
  <sheetProtection/>
  <mergeCells count="58">
    <mergeCell ref="A2:A3"/>
    <mergeCell ref="B2:X2"/>
    <mergeCell ref="B3:B6"/>
    <mergeCell ref="C3:C6"/>
    <mergeCell ref="D3:D6"/>
    <mergeCell ref="E3:E6"/>
    <mergeCell ref="F3:F6"/>
    <mergeCell ref="G3:G6"/>
    <mergeCell ref="H3:H6"/>
    <mergeCell ref="I3:I6"/>
    <mergeCell ref="N3:N6"/>
    <mergeCell ref="O3:O6"/>
    <mergeCell ref="P3:P6"/>
    <mergeCell ref="Q3:Q6"/>
    <mergeCell ref="J3:J6"/>
    <mergeCell ref="K3:K6"/>
    <mergeCell ref="L3:L6"/>
    <mergeCell ref="M3:M6"/>
    <mergeCell ref="V3:V6"/>
    <mergeCell ref="W3:W6"/>
    <mergeCell ref="X3:X6"/>
    <mergeCell ref="Y3:Y6"/>
    <mergeCell ref="R3:R6"/>
    <mergeCell ref="S3:S6"/>
    <mergeCell ref="T3:T6"/>
    <mergeCell ref="U3:U6"/>
    <mergeCell ref="K41:K44"/>
    <mergeCell ref="L41:L44"/>
    <mergeCell ref="M41:M44"/>
    <mergeCell ref="N41:N44"/>
    <mergeCell ref="G41:G44"/>
    <mergeCell ref="H41:H44"/>
    <mergeCell ref="I41:I44"/>
    <mergeCell ref="J41:J44"/>
    <mergeCell ref="S41:S44"/>
    <mergeCell ref="T41:T44"/>
    <mergeCell ref="U41:U44"/>
    <mergeCell ref="V41:V44"/>
    <mergeCell ref="O41:O44"/>
    <mergeCell ref="P41:P44"/>
    <mergeCell ref="Q41:Q44"/>
    <mergeCell ref="R41:R44"/>
    <mergeCell ref="W41:W44"/>
    <mergeCell ref="X41:X44"/>
    <mergeCell ref="Y41:Y44"/>
    <mergeCell ref="AA2:AA3"/>
    <mergeCell ref="B40:X40"/>
    <mergeCell ref="B41:B44"/>
    <mergeCell ref="C41:C44"/>
    <mergeCell ref="D41:D44"/>
    <mergeCell ref="E41:E44"/>
    <mergeCell ref="F41:F44"/>
    <mergeCell ref="AN41:AS41"/>
    <mergeCell ref="AN81:AS81"/>
    <mergeCell ref="AB2:AJ2"/>
    <mergeCell ref="AB40:AJ40"/>
    <mergeCell ref="AL2:AL3"/>
    <mergeCell ref="AN2:AS2"/>
  </mergeCells>
  <printOptions/>
  <pageMargins left="0.25" right="0.25" top="0.25" bottom="0.44" header="0.25" footer="0.25"/>
  <pageSetup horizontalDpi="300" verticalDpi="300" orientation="landscape" paperSize="9" scale="48" r:id="rId2"/>
  <headerFooter alignWithMargins="0">
    <oddFooter>&amp;L2011 Census Detailed Characteristics - Cultural Characteristics - &amp;A 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0" customWidth="1"/>
    <col min="2" max="5" width="18.28125" style="0" customWidth="1"/>
    <col min="6" max="6" width="18.00390625" style="0" customWidth="1"/>
    <col min="7" max="7" width="17.28125" style="0" customWidth="1"/>
    <col min="8" max="8" width="17.421875" style="0" customWidth="1"/>
    <col min="9" max="9" width="17.28125" style="0" customWidth="1"/>
    <col min="10" max="10" width="12.140625" style="0" customWidth="1"/>
    <col min="11" max="11" width="2.00390625" style="0" customWidth="1"/>
  </cols>
  <sheetData>
    <row r="1" ht="15.75">
      <c r="A1" s="1" t="s">
        <v>96</v>
      </c>
    </row>
    <row r="2" spans="1:10" ht="15">
      <c r="A2" s="254" t="s">
        <v>123</v>
      </c>
      <c r="B2" s="256" t="s">
        <v>28</v>
      </c>
      <c r="C2" s="256"/>
      <c r="D2" s="256"/>
      <c r="E2" s="256"/>
      <c r="F2" s="256"/>
      <c r="G2" s="256"/>
      <c r="H2" s="256"/>
      <c r="I2" s="256"/>
      <c r="J2" s="256"/>
    </row>
    <row r="3" spans="1:10" ht="15">
      <c r="A3" s="255"/>
      <c r="B3" s="2" t="s">
        <v>97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29</v>
      </c>
      <c r="J3" s="2" t="s">
        <v>20</v>
      </c>
    </row>
    <row r="4" spans="1:10" ht="15">
      <c r="A4" s="67" t="s">
        <v>98</v>
      </c>
      <c r="B4" s="71">
        <v>42617</v>
      </c>
      <c r="C4" s="71">
        <v>29370</v>
      </c>
      <c r="D4" s="71">
        <v>74562</v>
      </c>
      <c r="E4" s="71">
        <v>61402</v>
      </c>
      <c r="F4" s="71">
        <v>31734</v>
      </c>
      <c r="G4" s="71">
        <v>12304</v>
      </c>
      <c r="H4" s="71">
        <v>6785</v>
      </c>
      <c r="I4" s="71">
        <v>2311</v>
      </c>
      <c r="J4" s="72">
        <f>B4+C4+I4+H4+G4+F4+E4+D4</f>
        <v>261085</v>
      </c>
    </row>
    <row r="5" spans="1:11" ht="15">
      <c r="A5" s="68" t="s">
        <v>99</v>
      </c>
      <c r="B5" s="69">
        <v>36581</v>
      </c>
      <c r="C5" s="69">
        <v>25325</v>
      </c>
      <c r="D5" s="69">
        <v>58740</v>
      </c>
      <c r="E5" s="69">
        <v>51266</v>
      </c>
      <c r="F5" s="69">
        <v>28896</v>
      </c>
      <c r="G5" s="69">
        <v>11065</v>
      </c>
      <c r="H5" s="69">
        <v>6137</v>
      </c>
      <c r="I5" s="69">
        <v>2183</v>
      </c>
      <c r="J5" s="70">
        <f aca="true" t="shared" si="0" ref="J5:J26">B5+C5+I5+H5+G5+F5+E5+D5</f>
        <v>220193</v>
      </c>
      <c r="K5" s="59"/>
    </row>
    <row r="6" spans="1:11" ht="15">
      <c r="A6" s="68" t="s">
        <v>100</v>
      </c>
      <c r="B6" s="69">
        <v>436</v>
      </c>
      <c r="C6" s="69">
        <v>490</v>
      </c>
      <c r="D6" s="69">
        <v>2275</v>
      </c>
      <c r="E6" s="69">
        <v>1505</v>
      </c>
      <c r="F6" s="69">
        <v>933</v>
      </c>
      <c r="G6" s="69">
        <v>610</v>
      </c>
      <c r="H6" s="69">
        <v>348</v>
      </c>
      <c r="I6" s="69">
        <v>58</v>
      </c>
      <c r="J6" s="70">
        <f t="shared" si="0"/>
        <v>6655</v>
      </c>
      <c r="K6" s="59"/>
    </row>
    <row r="7" spans="1:11" ht="15">
      <c r="A7" s="68" t="s">
        <v>101</v>
      </c>
      <c r="B7" s="69">
        <v>5600</v>
      </c>
      <c r="C7" s="69">
        <v>3555</v>
      </c>
      <c r="D7" s="69">
        <v>13547</v>
      </c>
      <c r="E7" s="69">
        <v>8631</v>
      </c>
      <c r="F7" s="69">
        <v>1905</v>
      </c>
      <c r="G7" s="69">
        <v>629</v>
      </c>
      <c r="H7" s="69">
        <v>300</v>
      </c>
      <c r="I7" s="69">
        <v>70</v>
      </c>
      <c r="J7" s="70">
        <f t="shared" si="0"/>
        <v>34237</v>
      </c>
      <c r="K7" s="59"/>
    </row>
    <row r="8" spans="1:11" ht="15">
      <c r="A8" s="73" t="s">
        <v>102</v>
      </c>
      <c r="B8" s="74">
        <v>5411</v>
      </c>
      <c r="C8" s="74">
        <v>3252</v>
      </c>
      <c r="D8" s="74">
        <v>12617</v>
      </c>
      <c r="E8" s="74">
        <v>8215</v>
      </c>
      <c r="F8" s="74">
        <v>1817</v>
      </c>
      <c r="G8" s="74">
        <v>606</v>
      </c>
      <c r="H8" s="74">
        <v>284</v>
      </c>
      <c r="I8" s="74">
        <v>65</v>
      </c>
      <c r="J8" s="75">
        <f t="shared" si="0"/>
        <v>32267</v>
      </c>
      <c r="K8" s="59"/>
    </row>
    <row r="9" spans="1:11" ht="15">
      <c r="A9" s="3" t="s">
        <v>103</v>
      </c>
      <c r="B9" s="4">
        <v>4152</v>
      </c>
      <c r="C9" s="4">
        <v>2073</v>
      </c>
      <c r="D9" s="4">
        <v>6857</v>
      </c>
      <c r="E9" s="4">
        <v>6154</v>
      </c>
      <c r="F9" s="4">
        <v>1390</v>
      </c>
      <c r="G9" s="4">
        <v>551</v>
      </c>
      <c r="H9" s="4">
        <v>259</v>
      </c>
      <c r="I9" s="4">
        <v>50</v>
      </c>
      <c r="J9" s="5">
        <f t="shared" si="0"/>
        <v>21486</v>
      </c>
      <c r="K9" s="59"/>
    </row>
    <row r="10" spans="1:11" ht="15">
      <c r="A10" s="3" t="s">
        <v>104</v>
      </c>
      <c r="B10" s="4">
        <v>1259</v>
      </c>
      <c r="C10" s="4">
        <v>1179</v>
      </c>
      <c r="D10" s="4">
        <v>5760</v>
      </c>
      <c r="E10" s="4">
        <v>2061</v>
      </c>
      <c r="F10" s="4">
        <v>427</v>
      </c>
      <c r="G10" s="4">
        <v>55</v>
      </c>
      <c r="H10" s="4">
        <v>25</v>
      </c>
      <c r="I10" s="4">
        <v>15</v>
      </c>
      <c r="J10" s="5">
        <f t="shared" si="0"/>
        <v>10781</v>
      </c>
      <c r="K10" s="59"/>
    </row>
    <row r="11" spans="1:11" ht="15">
      <c r="A11" s="73" t="s">
        <v>105</v>
      </c>
      <c r="B11" s="74">
        <v>189</v>
      </c>
      <c r="C11" s="74">
        <v>303</v>
      </c>
      <c r="D11" s="74">
        <v>930</v>
      </c>
      <c r="E11" s="74">
        <v>416</v>
      </c>
      <c r="F11" s="74">
        <v>88</v>
      </c>
      <c r="G11" s="74">
        <v>23</v>
      </c>
      <c r="H11" s="74">
        <v>16</v>
      </c>
      <c r="I11" s="74">
        <v>5</v>
      </c>
      <c r="J11" s="75">
        <f t="shared" si="0"/>
        <v>1970</v>
      </c>
      <c r="K11" s="59"/>
    </row>
    <row r="12" spans="1:11" ht="15">
      <c r="A12" s="67" t="s">
        <v>106</v>
      </c>
      <c r="B12" s="71">
        <v>298</v>
      </c>
      <c r="C12" s="71">
        <v>452</v>
      </c>
      <c r="D12" s="71">
        <v>3071</v>
      </c>
      <c r="E12" s="71">
        <v>1199</v>
      </c>
      <c r="F12" s="71">
        <v>427</v>
      </c>
      <c r="G12" s="71">
        <v>110</v>
      </c>
      <c r="H12" s="71">
        <v>48</v>
      </c>
      <c r="I12" s="71">
        <v>13</v>
      </c>
      <c r="J12" s="72">
        <f t="shared" si="0"/>
        <v>5618</v>
      </c>
      <c r="K12" s="59"/>
    </row>
    <row r="13" spans="1:11" ht="15">
      <c r="A13" s="3" t="s">
        <v>107</v>
      </c>
      <c r="B13" s="4">
        <v>26</v>
      </c>
      <c r="C13" s="4">
        <v>49</v>
      </c>
      <c r="D13" s="4">
        <v>150</v>
      </c>
      <c r="E13" s="4">
        <v>149</v>
      </c>
      <c r="F13" s="4">
        <v>23</v>
      </c>
      <c r="G13" s="4">
        <v>2</v>
      </c>
      <c r="H13" s="4">
        <v>4</v>
      </c>
      <c r="I13" s="4">
        <v>1</v>
      </c>
      <c r="J13" s="5">
        <f t="shared" si="0"/>
        <v>404</v>
      </c>
      <c r="K13" s="59"/>
    </row>
    <row r="14" spans="1:11" ht="15">
      <c r="A14" s="3" t="s">
        <v>108</v>
      </c>
      <c r="B14" s="4">
        <v>114</v>
      </c>
      <c r="C14" s="4">
        <v>127</v>
      </c>
      <c r="D14" s="4">
        <v>447</v>
      </c>
      <c r="E14" s="4">
        <v>480</v>
      </c>
      <c r="F14" s="4">
        <v>245</v>
      </c>
      <c r="G14" s="4">
        <v>72</v>
      </c>
      <c r="H14" s="4">
        <v>39</v>
      </c>
      <c r="I14" s="4">
        <v>6</v>
      </c>
      <c r="J14" s="5">
        <f t="shared" si="0"/>
        <v>1530</v>
      </c>
      <c r="K14" s="59"/>
    </row>
    <row r="15" spans="1:11" ht="15">
      <c r="A15" s="3" t="s">
        <v>109</v>
      </c>
      <c r="B15" s="4">
        <v>158</v>
      </c>
      <c r="C15" s="4">
        <v>276</v>
      </c>
      <c r="D15" s="4">
        <v>2474</v>
      </c>
      <c r="E15" s="4">
        <v>570</v>
      </c>
      <c r="F15" s="4">
        <v>159</v>
      </c>
      <c r="G15" s="4">
        <v>36</v>
      </c>
      <c r="H15" s="4">
        <v>5</v>
      </c>
      <c r="I15" s="4">
        <v>6</v>
      </c>
      <c r="J15" s="5">
        <f t="shared" si="0"/>
        <v>3684</v>
      </c>
      <c r="K15" s="59"/>
    </row>
    <row r="16" spans="1:11" ht="15">
      <c r="A16" s="67" t="s">
        <v>110</v>
      </c>
      <c r="B16" s="71">
        <v>756</v>
      </c>
      <c r="C16" s="71">
        <v>1312</v>
      </c>
      <c r="D16" s="71">
        <v>3061</v>
      </c>
      <c r="E16" s="71">
        <v>2022</v>
      </c>
      <c r="F16" s="71">
        <v>672</v>
      </c>
      <c r="G16" s="71">
        <v>177</v>
      </c>
      <c r="H16" s="71">
        <v>80</v>
      </c>
      <c r="I16" s="71">
        <v>21</v>
      </c>
      <c r="J16" s="72">
        <f t="shared" si="0"/>
        <v>8101</v>
      </c>
      <c r="K16" s="59"/>
    </row>
    <row r="17" spans="1:11" ht="15">
      <c r="A17" s="3" t="s">
        <v>111</v>
      </c>
      <c r="B17" s="4">
        <v>47</v>
      </c>
      <c r="C17" s="4">
        <v>123</v>
      </c>
      <c r="D17" s="4">
        <v>233</v>
      </c>
      <c r="E17" s="4">
        <v>103</v>
      </c>
      <c r="F17" s="4">
        <v>27</v>
      </c>
      <c r="G17" s="4">
        <v>20</v>
      </c>
      <c r="H17" s="4">
        <v>17</v>
      </c>
      <c r="I17" s="4">
        <v>3</v>
      </c>
      <c r="J17" s="5">
        <f t="shared" si="0"/>
        <v>573</v>
      </c>
      <c r="K17" s="59"/>
    </row>
    <row r="18" spans="1:11" ht="15">
      <c r="A18" s="3" t="s">
        <v>112</v>
      </c>
      <c r="B18" s="4">
        <v>96</v>
      </c>
      <c r="C18" s="4">
        <v>194</v>
      </c>
      <c r="D18" s="4">
        <v>531</v>
      </c>
      <c r="E18" s="4">
        <v>445</v>
      </c>
      <c r="F18" s="4">
        <v>111</v>
      </c>
      <c r="G18" s="4">
        <v>22</v>
      </c>
      <c r="H18" s="4">
        <v>9</v>
      </c>
      <c r="I18" s="4">
        <v>3</v>
      </c>
      <c r="J18" s="5">
        <f t="shared" si="0"/>
        <v>1411</v>
      </c>
      <c r="K18" s="59"/>
    </row>
    <row r="19" spans="1:11" ht="15">
      <c r="A19" s="3" t="s">
        <v>113</v>
      </c>
      <c r="B19" s="4">
        <v>454</v>
      </c>
      <c r="C19" s="4">
        <v>707</v>
      </c>
      <c r="D19" s="4">
        <v>1617</v>
      </c>
      <c r="E19" s="4">
        <v>798</v>
      </c>
      <c r="F19" s="4">
        <v>223</v>
      </c>
      <c r="G19" s="4">
        <v>88</v>
      </c>
      <c r="H19" s="4">
        <v>45</v>
      </c>
      <c r="I19" s="4">
        <v>9</v>
      </c>
      <c r="J19" s="5">
        <f t="shared" si="0"/>
        <v>3941</v>
      </c>
      <c r="K19" s="59"/>
    </row>
    <row r="20" spans="1:11" ht="15">
      <c r="A20" s="3" t="s">
        <v>114</v>
      </c>
      <c r="B20" s="4">
        <v>157</v>
      </c>
      <c r="C20" s="4">
        <v>271</v>
      </c>
      <c r="D20" s="4">
        <v>657</v>
      </c>
      <c r="E20" s="4">
        <v>668</v>
      </c>
      <c r="F20" s="4">
        <v>310</v>
      </c>
      <c r="G20" s="4">
        <v>47</v>
      </c>
      <c r="H20" s="4">
        <v>9</v>
      </c>
      <c r="I20" s="4">
        <v>6</v>
      </c>
      <c r="J20" s="5">
        <f t="shared" si="0"/>
        <v>2125</v>
      </c>
      <c r="K20" s="59"/>
    </row>
    <row r="21" spans="1:11" ht="15">
      <c r="A21" s="3" t="s">
        <v>115</v>
      </c>
      <c r="B21" s="4">
        <v>2</v>
      </c>
      <c r="C21" s="4">
        <v>17</v>
      </c>
      <c r="D21" s="4">
        <v>23</v>
      </c>
      <c r="E21" s="4">
        <v>8</v>
      </c>
      <c r="F21" s="4">
        <v>1</v>
      </c>
      <c r="G21" s="4">
        <v>0</v>
      </c>
      <c r="H21" s="4">
        <v>0</v>
      </c>
      <c r="I21" s="4">
        <v>0</v>
      </c>
      <c r="J21" s="5">
        <f t="shared" si="0"/>
        <v>51</v>
      </c>
      <c r="K21" s="59"/>
    </row>
    <row r="22" spans="1:11" ht="15">
      <c r="A22" s="67" t="s">
        <v>116</v>
      </c>
      <c r="B22" s="71">
        <v>569</v>
      </c>
      <c r="C22" s="71">
        <v>537</v>
      </c>
      <c r="D22" s="71">
        <v>2478</v>
      </c>
      <c r="E22" s="71">
        <v>1802</v>
      </c>
      <c r="F22" s="71">
        <v>620</v>
      </c>
      <c r="G22" s="71">
        <v>167</v>
      </c>
      <c r="H22" s="71">
        <v>71</v>
      </c>
      <c r="I22" s="71">
        <v>30</v>
      </c>
      <c r="J22" s="72">
        <f t="shared" si="0"/>
        <v>6274</v>
      </c>
      <c r="K22" s="59"/>
    </row>
    <row r="23" spans="1:11" ht="15">
      <c r="A23" s="3" t="s">
        <v>117</v>
      </c>
      <c r="B23" s="4">
        <v>409</v>
      </c>
      <c r="C23" s="4">
        <v>339</v>
      </c>
      <c r="D23" s="4">
        <v>1430</v>
      </c>
      <c r="E23" s="4">
        <v>1204</v>
      </c>
      <c r="F23" s="4">
        <v>497</v>
      </c>
      <c r="G23" s="4">
        <v>132</v>
      </c>
      <c r="H23" s="4">
        <v>61</v>
      </c>
      <c r="I23" s="4">
        <v>26</v>
      </c>
      <c r="J23" s="5">
        <f t="shared" si="0"/>
        <v>4098</v>
      </c>
      <c r="K23" s="59"/>
    </row>
    <row r="24" spans="1:11" ht="15">
      <c r="A24" s="3" t="s">
        <v>118</v>
      </c>
      <c r="B24" s="4">
        <v>160</v>
      </c>
      <c r="C24" s="4">
        <v>198</v>
      </c>
      <c r="D24" s="4">
        <v>1048</v>
      </c>
      <c r="E24" s="4">
        <v>598</v>
      </c>
      <c r="F24" s="4">
        <v>123</v>
      </c>
      <c r="G24" s="4">
        <v>35</v>
      </c>
      <c r="H24" s="4">
        <v>10</v>
      </c>
      <c r="I24" s="4">
        <v>4</v>
      </c>
      <c r="J24" s="5">
        <f t="shared" si="0"/>
        <v>2176</v>
      </c>
      <c r="K24" s="59"/>
    </row>
    <row r="25" spans="1:11" ht="15">
      <c r="A25" s="67" t="s">
        <v>119</v>
      </c>
      <c r="B25" s="71">
        <v>298</v>
      </c>
      <c r="C25" s="71">
        <v>516</v>
      </c>
      <c r="D25" s="71">
        <v>4408</v>
      </c>
      <c r="E25" s="71">
        <v>1353</v>
      </c>
      <c r="F25" s="71">
        <v>214</v>
      </c>
      <c r="G25" s="71">
        <v>59</v>
      </c>
      <c r="H25" s="71">
        <v>21</v>
      </c>
      <c r="I25" s="71">
        <v>8</v>
      </c>
      <c r="J25" s="72">
        <f t="shared" si="0"/>
        <v>6877</v>
      </c>
      <c r="K25" s="59"/>
    </row>
    <row r="26" spans="1:11" ht="15">
      <c r="A26" s="67" t="s">
        <v>120</v>
      </c>
      <c r="B26" s="71">
        <v>6468</v>
      </c>
      <c r="C26" s="71">
        <v>1674</v>
      </c>
      <c r="D26" s="71">
        <v>1377</v>
      </c>
      <c r="E26" s="71">
        <v>2385</v>
      </c>
      <c r="F26" s="71">
        <v>2430</v>
      </c>
      <c r="G26" s="71">
        <v>1638</v>
      </c>
      <c r="H26" s="71">
        <v>1758</v>
      </c>
      <c r="I26" s="71">
        <v>1310</v>
      </c>
      <c r="J26" s="72">
        <f t="shared" si="0"/>
        <v>19040</v>
      </c>
      <c r="K26" s="59"/>
    </row>
    <row r="27" spans="1:11" ht="15">
      <c r="A27" s="7" t="s">
        <v>20</v>
      </c>
      <c r="B27" s="5">
        <f>B5+B6+B9+B10+B11+B13+B14+B15+B17+B18+B19+B20+B21+B23+B24+B25+B26</f>
        <v>51006</v>
      </c>
      <c r="C27" s="5">
        <f aca="true" t="shared" si="1" ref="C27:J27">C5+C6+C9+C10+C11+C13+C14+C15+C17+C18+C19+C20+C21+C23+C24+C25+C26</f>
        <v>33861</v>
      </c>
      <c r="D27" s="5">
        <f t="shared" si="1"/>
        <v>88957</v>
      </c>
      <c r="E27" s="5">
        <f t="shared" si="1"/>
        <v>70163</v>
      </c>
      <c r="F27" s="5">
        <f t="shared" si="1"/>
        <v>36097</v>
      </c>
      <c r="G27" s="5">
        <f t="shared" si="1"/>
        <v>14455</v>
      </c>
      <c r="H27" s="5">
        <f t="shared" si="1"/>
        <v>8763</v>
      </c>
      <c r="I27" s="5">
        <f t="shared" si="1"/>
        <v>3693</v>
      </c>
      <c r="J27" s="5">
        <f t="shared" si="1"/>
        <v>306995</v>
      </c>
      <c r="K27" s="59"/>
    </row>
    <row r="28" spans="1:11" ht="15">
      <c r="A28" s="8" t="s">
        <v>19</v>
      </c>
      <c r="B28" s="8"/>
      <c r="D28" s="9"/>
      <c r="E28" s="9"/>
      <c r="F28" s="9"/>
      <c r="G28" s="9"/>
      <c r="H28" s="9"/>
      <c r="I28" s="9"/>
      <c r="J28" s="10" t="s">
        <v>18</v>
      </c>
      <c r="K28" s="59"/>
    </row>
    <row r="29" spans="4:11" ht="15">
      <c r="D29" s="9"/>
      <c r="E29" s="9"/>
      <c r="F29" s="9"/>
      <c r="G29" s="9"/>
      <c r="H29" s="9"/>
      <c r="I29" s="9"/>
      <c r="J29" s="10" t="s">
        <v>31</v>
      </c>
      <c r="K29" s="59"/>
    </row>
    <row r="30" spans="1:11" ht="15.75">
      <c r="A30" s="1" t="s">
        <v>121</v>
      </c>
      <c r="K30" s="59"/>
    </row>
    <row r="31" spans="1:11" ht="15">
      <c r="A31" s="17" t="s">
        <v>123</v>
      </c>
      <c r="B31" s="257" t="s">
        <v>28</v>
      </c>
      <c r="C31" s="256"/>
      <c r="D31" s="256"/>
      <c r="E31" s="256"/>
      <c r="F31" s="256"/>
      <c r="G31" s="256"/>
      <c r="H31" s="256"/>
      <c r="I31" s="256"/>
      <c r="J31" s="256"/>
      <c r="K31" s="59"/>
    </row>
    <row r="32" spans="1:11" ht="15">
      <c r="A32" s="18"/>
      <c r="B32" s="15" t="s">
        <v>97</v>
      </c>
      <c r="C32" s="2" t="s">
        <v>22</v>
      </c>
      <c r="D32" s="2" t="s">
        <v>23</v>
      </c>
      <c r="E32" s="2" t="s">
        <v>24</v>
      </c>
      <c r="F32" s="2" t="s">
        <v>25</v>
      </c>
      <c r="G32" s="2" t="s">
        <v>26</v>
      </c>
      <c r="H32" s="2" t="s">
        <v>27</v>
      </c>
      <c r="I32" s="2" t="s">
        <v>29</v>
      </c>
      <c r="J32" s="2" t="s">
        <v>20</v>
      </c>
      <c r="K32" s="59"/>
    </row>
    <row r="33" spans="1:11" ht="15">
      <c r="A33" s="82" t="s">
        <v>98</v>
      </c>
      <c r="B33" s="76">
        <f>(B4/B27)*100</f>
        <v>83.55291534329294</v>
      </c>
      <c r="C33" s="76">
        <f aca="true" t="shared" si="2" ref="C33:J33">(C4/C27)*100</f>
        <v>86.7369540178967</v>
      </c>
      <c r="D33" s="76">
        <f t="shared" si="2"/>
        <v>83.81802443877379</v>
      </c>
      <c r="E33" s="76">
        <f t="shared" si="2"/>
        <v>87.51336174336902</v>
      </c>
      <c r="F33" s="76">
        <f t="shared" si="2"/>
        <v>87.91312297420838</v>
      </c>
      <c r="G33" s="76">
        <f t="shared" si="2"/>
        <v>85.1193358699412</v>
      </c>
      <c r="H33" s="76">
        <f t="shared" si="2"/>
        <v>77.42782152230971</v>
      </c>
      <c r="I33" s="76">
        <f t="shared" si="2"/>
        <v>62.577849986460876</v>
      </c>
      <c r="J33" s="76">
        <f t="shared" si="2"/>
        <v>85.04535904493558</v>
      </c>
      <c r="K33" s="59"/>
    </row>
    <row r="34" spans="1:11" ht="15">
      <c r="A34" s="68" t="s">
        <v>99</v>
      </c>
      <c r="B34" s="77">
        <f>(B5/B27)*100</f>
        <v>71.7190134493981</v>
      </c>
      <c r="C34" s="77">
        <f aca="true" t="shared" si="3" ref="C34:J34">(C5/C27)*100</f>
        <v>74.7910575588435</v>
      </c>
      <c r="D34" s="77">
        <f t="shared" si="3"/>
        <v>66.03190305428465</v>
      </c>
      <c r="E34" s="77">
        <f t="shared" si="3"/>
        <v>73.06700112594957</v>
      </c>
      <c r="F34" s="77">
        <f t="shared" si="3"/>
        <v>80.05097376513284</v>
      </c>
      <c r="G34" s="77">
        <f t="shared" si="3"/>
        <v>76.54790729851263</v>
      </c>
      <c r="H34" s="77">
        <f t="shared" si="3"/>
        <v>70.03309368937578</v>
      </c>
      <c r="I34" s="77">
        <f t="shared" si="3"/>
        <v>59.111833197942055</v>
      </c>
      <c r="J34" s="77">
        <f t="shared" si="3"/>
        <v>71.72527239857327</v>
      </c>
      <c r="K34" s="59"/>
    </row>
    <row r="35" spans="1:11" ht="15">
      <c r="A35" s="68" t="s">
        <v>100</v>
      </c>
      <c r="B35" s="77">
        <f>(B6/B27)*100</f>
        <v>0.8548013959142061</v>
      </c>
      <c r="C35" s="77">
        <f aca="true" t="shared" si="4" ref="C35:J35">(C6/C27)*100</f>
        <v>1.4470925253241194</v>
      </c>
      <c r="D35" s="77">
        <f t="shared" si="4"/>
        <v>2.5574153804647186</v>
      </c>
      <c r="E35" s="77">
        <f t="shared" si="4"/>
        <v>2.145005202172085</v>
      </c>
      <c r="F35" s="77">
        <f t="shared" si="4"/>
        <v>2.584702329833504</v>
      </c>
      <c r="G35" s="77">
        <f t="shared" si="4"/>
        <v>4.219993081978554</v>
      </c>
      <c r="H35" s="77">
        <f t="shared" si="4"/>
        <v>3.9712427250941458</v>
      </c>
      <c r="I35" s="77">
        <f t="shared" si="4"/>
        <v>1.57053885729759</v>
      </c>
      <c r="J35" s="77">
        <f t="shared" si="4"/>
        <v>2.16778774898614</v>
      </c>
      <c r="K35" s="59"/>
    </row>
    <row r="36" spans="1:10" ht="15">
      <c r="A36" s="68" t="s">
        <v>101</v>
      </c>
      <c r="B36" s="77">
        <f>(B7/B27)*100</f>
        <v>10.97910049798063</v>
      </c>
      <c r="C36" s="77">
        <f aca="true" t="shared" si="5" ref="C36:J36">(C7/C27)*100</f>
        <v>10.498803933729068</v>
      </c>
      <c r="D36" s="77">
        <f t="shared" si="5"/>
        <v>15.228706004024417</v>
      </c>
      <c r="E36" s="77">
        <f t="shared" si="5"/>
        <v>12.301355415247354</v>
      </c>
      <c r="F36" s="77">
        <f t="shared" si="5"/>
        <v>5.277446879242042</v>
      </c>
      <c r="G36" s="77">
        <f t="shared" si="5"/>
        <v>4.351435489450017</v>
      </c>
      <c r="H36" s="77">
        <f t="shared" si="5"/>
        <v>3.4234851078397806</v>
      </c>
      <c r="I36" s="77">
        <f t="shared" si="5"/>
        <v>1.8954779312212293</v>
      </c>
      <c r="J36" s="77">
        <f t="shared" si="5"/>
        <v>11.152298897376179</v>
      </c>
    </row>
    <row r="37" spans="1:10" ht="15">
      <c r="A37" s="73" t="s">
        <v>102</v>
      </c>
      <c r="B37" s="78">
        <f>(B8/B27)*100</f>
        <v>10.608555856173783</v>
      </c>
      <c r="C37" s="78">
        <f aca="true" t="shared" si="6" ref="C37:J37">(C8/C27)*100</f>
        <v>9.603969168069462</v>
      </c>
      <c r="D37" s="78">
        <f t="shared" si="6"/>
        <v>14.183257079263015</v>
      </c>
      <c r="E37" s="78">
        <f t="shared" si="6"/>
        <v>11.70845032281972</v>
      </c>
      <c r="F37" s="78">
        <f t="shared" si="6"/>
        <v>5.033659306867607</v>
      </c>
      <c r="G37" s="78">
        <f t="shared" si="6"/>
        <v>4.192320996195089</v>
      </c>
      <c r="H37" s="78">
        <f t="shared" si="6"/>
        <v>3.2408992354216593</v>
      </c>
      <c r="I37" s="78">
        <f t="shared" si="6"/>
        <v>1.7600866504197128</v>
      </c>
      <c r="J37" s="78">
        <f t="shared" si="6"/>
        <v>10.510594635091778</v>
      </c>
    </row>
    <row r="38" spans="1:10" ht="15">
      <c r="A38" s="3" t="s">
        <v>103</v>
      </c>
      <c r="B38" s="11">
        <f>(B9/B27)*100</f>
        <v>8.140218797788496</v>
      </c>
      <c r="C38" s="11">
        <f aca="true" t="shared" si="7" ref="C38:J38">(C9/C27)*100</f>
        <v>6.122087357136529</v>
      </c>
      <c r="D38" s="11">
        <f t="shared" si="7"/>
        <v>7.7082185775149785</v>
      </c>
      <c r="E38" s="11">
        <f t="shared" si="7"/>
        <v>8.771004660576088</v>
      </c>
      <c r="F38" s="11">
        <f t="shared" si="7"/>
        <v>3.850735518187107</v>
      </c>
      <c r="G38" s="11">
        <f t="shared" si="7"/>
        <v>3.811829816672432</v>
      </c>
      <c r="H38" s="11">
        <f t="shared" si="7"/>
        <v>2.955608809768344</v>
      </c>
      <c r="I38" s="11">
        <f t="shared" si="7"/>
        <v>1.353912808015164</v>
      </c>
      <c r="J38" s="11">
        <f t="shared" si="7"/>
        <v>6.9988110555546506</v>
      </c>
    </row>
    <row r="39" spans="1:10" ht="15">
      <c r="A39" s="3" t="s">
        <v>104</v>
      </c>
      <c r="B39" s="11">
        <f>(B10/B27)*100</f>
        <v>2.4683370583852877</v>
      </c>
      <c r="C39" s="11">
        <f aca="true" t="shared" si="8" ref="C39:J39">(C10/C27)*100</f>
        <v>3.481881810932932</v>
      </c>
      <c r="D39" s="11">
        <f t="shared" si="8"/>
        <v>6.475038501748036</v>
      </c>
      <c r="E39" s="11">
        <f t="shared" si="8"/>
        <v>2.9374456622436327</v>
      </c>
      <c r="F39" s="11">
        <f t="shared" si="8"/>
        <v>1.1829237886804997</v>
      </c>
      <c r="G39" s="11">
        <f t="shared" si="8"/>
        <v>0.38049117952265654</v>
      </c>
      <c r="H39" s="11">
        <f t="shared" si="8"/>
        <v>0.2852904256533151</v>
      </c>
      <c r="I39" s="11">
        <f t="shared" si="8"/>
        <v>0.4061738424045491</v>
      </c>
      <c r="J39" s="11">
        <f t="shared" si="8"/>
        <v>3.511783579537126</v>
      </c>
    </row>
    <row r="40" spans="1:10" ht="15">
      <c r="A40" s="73" t="s">
        <v>105</v>
      </c>
      <c r="B40" s="78">
        <f>(B11/B27)*100</f>
        <v>0.37054464180684626</v>
      </c>
      <c r="C40" s="78">
        <f aca="true" t="shared" si="9" ref="C40:J40">(C11/C27)*100</f>
        <v>0.8948347656596084</v>
      </c>
      <c r="D40" s="78">
        <f t="shared" si="9"/>
        <v>1.0454489247614016</v>
      </c>
      <c r="E40" s="78">
        <f t="shared" si="9"/>
        <v>0.5929050924276328</v>
      </c>
      <c r="F40" s="78">
        <f t="shared" si="9"/>
        <v>0.24378757237443557</v>
      </c>
      <c r="G40" s="78">
        <f t="shared" si="9"/>
        <v>0.1591144932549291</v>
      </c>
      <c r="H40" s="78">
        <f t="shared" si="9"/>
        <v>0.18258587241812163</v>
      </c>
      <c r="I40" s="78">
        <f t="shared" si="9"/>
        <v>0.13539128080151638</v>
      </c>
      <c r="J40" s="78">
        <f t="shared" si="9"/>
        <v>0.641704262284402</v>
      </c>
    </row>
    <row r="41" spans="1:10" ht="15">
      <c r="A41" s="67" t="s">
        <v>106</v>
      </c>
      <c r="B41" s="76">
        <f>(B12/B27)*100</f>
        <v>0.5842449907853978</v>
      </c>
      <c r="C41" s="76">
        <f aca="true" t="shared" si="10" ref="C41:J41">(C12/C27)*100</f>
        <v>1.3348690233602079</v>
      </c>
      <c r="D41" s="76">
        <f t="shared" si="10"/>
        <v>3.452229728970176</v>
      </c>
      <c r="E41" s="76">
        <f t="shared" si="10"/>
        <v>1.7088778986075284</v>
      </c>
      <c r="F41" s="76">
        <f t="shared" si="10"/>
        <v>1.1829237886804997</v>
      </c>
      <c r="G41" s="76">
        <f t="shared" si="10"/>
        <v>0.7609823590453131</v>
      </c>
      <c r="H41" s="76">
        <f t="shared" si="10"/>
        <v>0.5477576172543649</v>
      </c>
      <c r="I41" s="76">
        <f t="shared" si="10"/>
        <v>0.3520173300839426</v>
      </c>
      <c r="J41" s="76">
        <f t="shared" si="10"/>
        <v>1.8299972312252641</v>
      </c>
    </row>
    <row r="42" spans="1:10" ht="15">
      <c r="A42" s="3" t="s">
        <v>107</v>
      </c>
      <c r="B42" s="11">
        <f>(B13/B27)*100</f>
        <v>0.050974395169195774</v>
      </c>
      <c r="C42" s="11">
        <f aca="true" t="shared" si="11" ref="C42:J42">(C13/C27)*100</f>
        <v>0.1447092525324119</v>
      </c>
      <c r="D42" s="11">
        <f t="shared" si="11"/>
        <v>0.16862079431635507</v>
      </c>
      <c r="E42" s="11">
        <f t="shared" si="11"/>
        <v>0.21236264127816656</v>
      </c>
      <c r="F42" s="11">
        <f t="shared" si="11"/>
        <v>0.06371720641604565</v>
      </c>
      <c r="G42" s="11">
        <f t="shared" si="11"/>
        <v>0.013836042891732965</v>
      </c>
      <c r="H42" s="11">
        <f t="shared" si="11"/>
        <v>0.04564646810453041</v>
      </c>
      <c r="I42" s="11">
        <f t="shared" si="11"/>
        <v>0.027078256160303276</v>
      </c>
      <c r="J42" s="11">
        <f t="shared" si="11"/>
        <v>0.1315982344989332</v>
      </c>
    </row>
    <row r="43" spans="1:10" ht="15">
      <c r="A43" s="3" t="s">
        <v>108</v>
      </c>
      <c r="B43" s="11">
        <f>(B14/B27)*100</f>
        <v>0.22350311728031994</v>
      </c>
      <c r="C43" s="11">
        <f aca="true" t="shared" si="12" ref="C43:J43">(C14/C27)*100</f>
        <v>0.3750627565635982</v>
      </c>
      <c r="D43" s="11">
        <f t="shared" si="12"/>
        <v>0.5024899670627382</v>
      </c>
      <c r="E43" s="11">
        <f t="shared" si="12"/>
        <v>0.6841212604934225</v>
      </c>
      <c r="F43" s="11">
        <f t="shared" si="12"/>
        <v>0.678726763997008</v>
      </c>
      <c r="G43" s="11">
        <f t="shared" si="12"/>
        <v>0.4980975441023867</v>
      </c>
      <c r="H43" s="11">
        <f t="shared" si="12"/>
        <v>0.4450530640191715</v>
      </c>
      <c r="I43" s="11">
        <f t="shared" si="12"/>
        <v>0.16246953696181965</v>
      </c>
      <c r="J43" s="11">
        <f t="shared" si="12"/>
        <v>0.4983794524340788</v>
      </c>
    </row>
    <row r="44" spans="1:10" ht="15">
      <c r="A44" s="3" t="s">
        <v>109</v>
      </c>
      <c r="B44" s="11">
        <f>(B15/B27)*100</f>
        <v>0.30976747833588203</v>
      </c>
      <c r="C44" s="11">
        <f aca="true" t="shared" si="13" ref="C44:J44">(C15/C27)*100</f>
        <v>0.8150970142641977</v>
      </c>
      <c r="D44" s="11">
        <f t="shared" si="13"/>
        <v>2.7811189675910835</v>
      </c>
      <c r="E44" s="11">
        <f t="shared" si="13"/>
        <v>0.8123939968359392</v>
      </c>
      <c r="F44" s="11">
        <f t="shared" si="13"/>
        <v>0.44047981826744603</v>
      </c>
      <c r="G44" s="11">
        <f t="shared" si="13"/>
        <v>0.24904877205119336</v>
      </c>
      <c r="H44" s="11">
        <f t="shared" si="13"/>
        <v>0.05705808513066301</v>
      </c>
      <c r="I44" s="11">
        <f t="shared" si="13"/>
        <v>0.16246953696181965</v>
      </c>
      <c r="J44" s="11">
        <f t="shared" si="13"/>
        <v>1.2000195442922523</v>
      </c>
    </row>
    <row r="45" spans="1:10" ht="15">
      <c r="A45" s="67" t="s">
        <v>110</v>
      </c>
      <c r="B45" s="76">
        <f>(B16/B27)*100</f>
        <v>1.482178567227385</v>
      </c>
      <c r="C45" s="76">
        <f aca="true" t="shared" si="14" ref="C45:J45">(C16/C27)*100</f>
        <v>3.8746640678066213</v>
      </c>
      <c r="D45" s="76">
        <f t="shared" si="14"/>
        <v>3.4409883426824197</v>
      </c>
      <c r="E45" s="76">
        <f t="shared" si="14"/>
        <v>2.881860809828542</v>
      </c>
      <c r="F45" s="76">
        <f t="shared" si="14"/>
        <v>1.8616505526775078</v>
      </c>
      <c r="G45" s="76">
        <f t="shared" si="14"/>
        <v>1.2244897959183674</v>
      </c>
      <c r="H45" s="76">
        <f t="shared" si="14"/>
        <v>0.9129293620906082</v>
      </c>
      <c r="I45" s="76">
        <f t="shared" si="14"/>
        <v>0.5686433793663688</v>
      </c>
      <c r="J45" s="76">
        <f t="shared" si="14"/>
        <v>2.638805192266975</v>
      </c>
    </row>
    <row r="46" spans="1:10" ht="15">
      <c r="A46" s="3" t="s">
        <v>111</v>
      </c>
      <c r="B46" s="11">
        <f>(B17/B27)*100</f>
        <v>0.09214602203662314</v>
      </c>
      <c r="C46" s="11">
        <f aca="true" t="shared" si="15" ref="C46:J46">(C17/C27)*100</f>
        <v>0.36324975635687073</v>
      </c>
      <c r="D46" s="11">
        <f t="shared" si="15"/>
        <v>0.26192430050473825</v>
      </c>
      <c r="E46" s="11">
        <f t="shared" si="15"/>
        <v>0.14680102048088023</v>
      </c>
      <c r="F46" s="11">
        <f t="shared" si="15"/>
        <v>0.07479845970579273</v>
      </c>
      <c r="G46" s="11">
        <f t="shared" si="15"/>
        <v>0.13836042891732964</v>
      </c>
      <c r="H46" s="11">
        <f t="shared" si="15"/>
        <v>0.19399748944425424</v>
      </c>
      <c r="I46" s="11">
        <f t="shared" si="15"/>
        <v>0.08123476848090982</v>
      </c>
      <c r="J46" s="11">
        <f t="shared" si="15"/>
        <v>0.18664799100962556</v>
      </c>
    </row>
    <row r="47" spans="1:10" ht="15">
      <c r="A47" s="3" t="s">
        <v>112</v>
      </c>
      <c r="B47" s="11">
        <f>(B18/B27)*100</f>
        <v>0.18821315139395364</v>
      </c>
      <c r="C47" s="11">
        <f aca="true" t="shared" si="16" ref="C47:J47">(C18/C27)*100</f>
        <v>0.5729305100262839</v>
      </c>
      <c r="D47" s="11">
        <f t="shared" si="16"/>
        <v>0.596917611879897</v>
      </c>
      <c r="E47" s="11">
        <f t="shared" si="16"/>
        <v>0.6342374185824438</v>
      </c>
      <c r="F47" s="11">
        <f t="shared" si="16"/>
        <v>0.3075047787904812</v>
      </c>
      <c r="G47" s="11">
        <f t="shared" si="16"/>
        <v>0.1521964718090626</v>
      </c>
      <c r="H47" s="11">
        <f t="shared" si="16"/>
        <v>0.10270455323519344</v>
      </c>
      <c r="I47" s="11">
        <f t="shared" si="16"/>
        <v>0.08123476848090982</v>
      </c>
      <c r="J47" s="11">
        <f t="shared" si="16"/>
        <v>0.4596166061336504</v>
      </c>
    </row>
    <row r="48" spans="1:10" ht="15">
      <c r="A48" s="3" t="s">
        <v>113</v>
      </c>
      <c r="B48" s="11">
        <f>(B19/B27)*100</f>
        <v>0.8900913618005725</v>
      </c>
      <c r="C48" s="11">
        <f aca="true" t="shared" si="17" ref="C48:J48">(C19/C27)*100</f>
        <v>2.0879477865390865</v>
      </c>
      <c r="D48" s="11">
        <f t="shared" si="17"/>
        <v>1.8177321627303078</v>
      </c>
      <c r="E48" s="11">
        <f t="shared" si="17"/>
        <v>1.1373515955703148</v>
      </c>
      <c r="F48" s="11">
        <f t="shared" si="17"/>
        <v>0.6177798709033993</v>
      </c>
      <c r="G48" s="11">
        <f t="shared" si="17"/>
        <v>0.6087858872362504</v>
      </c>
      <c r="H48" s="11">
        <f t="shared" si="17"/>
        <v>0.5135227661759671</v>
      </c>
      <c r="I48" s="11">
        <f t="shared" si="17"/>
        <v>0.2437043054427295</v>
      </c>
      <c r="J48" s="11">
        <f t="shared" si="17"/>
        <v>1.2837342627730093</v>
      </c>
    </row>
    <row r="49" spans="1:10" ht="15">
      <c r="A49" s="3" t="s">
        <v>114</v>
      </c>
      <c r="B49" s="11">
        <f>(B20/B27)*100</f>
        <v>0.3078069246755284</v>
      </c>
      <c r="C49" s="11">
        <f aca="true" t="shared" si="18" ref="C49:J49">(C20/C27)*100</f>
        <v>0.8003307640057883</v>
      </c>
      <c r="D49" s="11">
        <f t="shared" si="18"/>
        <v>0.7385590791056353</v>
      </c>
      <c r="E49" s="11">
        <f t="shared" si="18"/>
        <v>0.9520687541866796</v>
      </c>
      <c r="F49" s="11">
        <f t="shared" si="18"/>
        <v>0.858797129955398</v>
      </c>
      <c r="G49" s="11">
        <f t="shared" si="18"/>
        <v>0.32514700795572465</v>
      </c>
      <c r="H49" s="11">
        <f t="shared" si="18"/>
        <v>0.10270455323519344</v>
      </c>
      <c r="I49" s="11">
        <f t="shared" si="18"/>
        <v>0.16246953696181965</v>
      </c>
      <c r="J49" s="11">
        <f t="shared" si="18"/>
        <v>0.6921936839362205</v>
      </c>
    </row>
    <row r="50" spans="1:10" ht="15">
      <c r="A50" s="3" t="s">
        <v>115</v>
      </c>
      <c r="B50" s="11">
        <f>(B21/B27)*100</f>
        <v>0.003921107320707368</v>
      </c>
      <c r="C50" s="11">
        <f aca="true" t="shared" si="19" ref="C50:J50">(C21/C27)*100</f>
        <v>0.05020525087859189</v>
      </c>
      <c r="D50" s="11">
        <f t="shared" si="19"/>
        <v>0.025855188461841115</v>
      </c>
      <c r="E50" s="11">
        <f t="shared" si="19"/>
        <v>0.011402021008223706</v>
      </c>
      <c r="F50" s="11">
        <f t="shared" si="19"/>
        <v>0.0027703133224367678</v>
      </c>
      <c r="G50" s="11">
        <f t="shared" si="19"/>
        <v>0</v>
      </c>
      <c r="H50" s="11">
        <f t="shared" si="19"/>
        <v>0</v>
      </c>
      <c r="I50" s="11">
        <f t="shared" si="19"/>
        <v>0</v>
      </c>
      <c r="J50" s="11">
        <f t="shared" si="19"/>
        <v>0.01661264841446929</v>
      </c>
    </row>
    <row r="51" spans="1:10" ht="15">
      <c r="A51" s="67" t="s">
        <v>116</v>
      </c>
      <c r="B51" s="76">
        <f>(B22/B27)*100</f>
        <v>1.1155550327412462</v>
      </c>
      <c r="C51" s="76">
        <f aca="true" t="shared" si="20" ref="C51:J51">(C22/C27)*100</f>
        <v>1.5858952777531674</v>
      </c>
      <c r="D51" s="76">
        <f t="shared" si="20"/>
        <v>2.7856155221061862</v>
      </c>
      <c r="E51" s="76">
        <f t="shared" si="20"/>
        <v>2.56830523210239</v>
      </c>
      <c r="F51" s="76">
        <f t="shared" si="20"/>
        <v>1.717594259910796</v>
      </c>
      <c r="G51" s="76">
        <f t="shared" si="20"/>
        <v>1.1553095814597025</v>
      </c>
      <c r="H51" s="76">
        <f t="shared" si="20"/>
        <v>0.8102248088554148</v>
      </c>
      <c r="I51" s="76">
        <f t="shared" si="20"/>
        <v>0.8123476848090982</v>
      </c>
      <c r="J51" s="76">
        <f t="shared" si="20"/>
        <v>2.043681493183928</v>
      </c>
    </row>
    <row r="52" spans="1:10" ht="15">
      <c r="A52" s="3" t="s">
        <v>117</v>
      </c>
      <c r="B52" s="11">
        <f>(B23/B27)*100</f>
        <v>0.8018664470846567</v>
      </c>
      <c r="C52" s="11">
        <f aca="true" t="shared" si="21" ref="C52:J52">(C23/C27)*100</f>
        <v>1.001151767520156</v>
      </c>
      <c r="D52" s="11">
        <f t="shared" si="21"/>
        <v>1.607518239149252</v>
      </c>
      <c r="E52" s="11">
        <f t="shared" si="21"/>
        <v>1.7160041617376678</v>
      </c>
      <c r="F52" s="11">
        <f t="shared" si="21"/>
        <v>1.3768457212510734</v>
      </c>
      <c r="G52" s="11">
        <f t="shared" si="21"/>
        <v>0.9131788308543757</v>
      </c>
      <c r="H52" s="11">
        <f t="shared" si="21"/>
        <v>0.6961086385940888</v>
      </c>
      <c r="I52" s="11">
        <f t="shared" si="21"/>
        <v>0.7040346601678852</v>
      </c>
      <c r="J52" s="11">
        <f t="shared" si="21"/>
        <v>1.3348751608332383</v>
      </c>
    </row>
    <row r="53" spans="1:10" ht="15">
      <c r="A53" s="3" t="s">
        <v>118</v>
      </c>
      <c r="B53" s="11">
        <f>(B24/B27)*100</f>
        <v>0.3136885856565894</v>
      </c>
      <c r="C53" s="11">
        <f aca="true" t="shared" si="22" ref="C53:J53">(C24/C27)*100</f>
        <v>0.5847435102330114</v>
      </c>
      <c r="D53" s="11">
        <f t="shared" si="22"/>
        <v>1.1780972829569343</v>
      </c>
      <c r="E53" s="11">
        <f t="shared" si="22"/>
        <v>0.8523010703647221</v>
      </c>
      <c r="F53" s="11">
        <f t="shared" si="22"/>
        <v>0.34074853865972243</v>
      </c>
      <c r="G53" s="11">
        <f t="shared" si="22"/>
        <v>0.24213075060532688</v>
      </c>
      <c r="H53" s="11">
        <f t="shared" si="22"/>
        <v>0.11411617026132602</v>
      </c>
      <c r="I53" s="11">
        <f t="shared" si="22"/>
        <v>0.1083130246412131</v>
      </c>
      <c r="J53" s="11">
        <f t="shared" si="22"/>
        <v>0.7088063323506898</v>
      </c>
    </row>
    <row r="54" spans="1:10" ht="15">
      <c r="A54" s="67" t="s">
        <v>119</v>
      </c>
      <c r="B54" s="76">
        <f>(B25/B27)*100</f>
        <v>0.5842449907853978</v>
      </c>
      <c r="C54" s="76">
        <f aca="true" t="shared" si="23" ref="C54:J54">(C25/C27)*100</f>
        <v>1.523877026667848</v>
      </c>
      <c r="D54" s="76">
        <f t="shared" si="23"/>
        <v>4.955203075643288</v>
      </c>
      <c r="E54" s="76">
        <f t="shared" si="23"/>
        <v>1.9283668030158345</v>
      </c>
      <c r="F54" s="76">
        <f t="shared" si="23"/>
        <v>0.5928470510014683</v>
      </c>
      <c r="G54" s="76">
        <f t="shared" si="23"/>
        <v>0.40816326530612246</v>
      </c>
      <c r="H54" s="76">
        <f t="shared" si="23"/>
        <v>0.23964395754878468</v>
      </c>
      <c r="I54" s="76">
        <f t="shared" si="23"/>
        <v>0.2166260492824262</v>
      </c>
      <c r="J54" s="76">
        <f t="shared" si="23"/>
        <v>2.240101630319712</v>
      </c>
    </row>
    <row r="55" spans="1:10" ht="15">
      <c r="A55" s="67" t="s">
        <v>120</v>
      </c>
      <c r="B55" s="76">
        <f>(B26/B27)*100</f>
        <v>12.680861075167627</v>
      </c>
      <c r="C55" s="76">
        <f aca="true" t="shared" si="24" ref="C55:J55">(C26/C27)*100</f>
        <v>4.94374058651546</v>
      </c>
      <c r="D55" s="76">
        <f t="shared" si="24"/>
        <v>1.54793889182414</v>
      </c>
      <c r="E55" s="76">
        <f t="shared" si="24"/>
        <v>3.399227513076693</v>
      </c>
      <c r="F55" s="76">
        <f t="shared" si="24"/>
        <v>6.731861373521346</v>
      </c>
      <c r="G55" s="76">
        <f t="shared" si="24"/>
        <v>11.331719128329299</v>
      </c>
      <c r="H55" s="76">
        <f t="shared" si="24"/>
        <v>20.061622731941117</v>
      </c>
      <c r="I55" s="76">
        <f t="shared" si="24"/>
        <v>35.47251556999729</v>
      </c>
      <c r="J55" s="76">
        <f t="shared" si="24"/>
        <v>6.202055408068535</v>
      </c>
    </row>
    <row r="56" spans="1:10" ht="15">
      <c r="A56" s="7" t="s">
        <v>20</v>
      </c>
      <c r="B56" s="12">
        <f>B34+B35+B38+B39+B40+B42+B43+B44+B46+B47+B48+B49+B50+B52+B53+B54+B55</f>
        <v>100</v>
      </c>
      <c r="C56" s="12">
        <f aca="true" t="shared" si="25" ref="C56:J56">C34+C35+C38+C39+C40+C42+C43+C44+C46+C47+C48+C49+C50+C52+C53+C54+C55</f>
        <v>99.99999999999999</v>
      </c>
      <c r="D56" s="12">
        <f t="shared" si="25"/>
        <v>100.00000000000004</v>
      </c>
      <c r="E56" s="12">
        <f t="shared" si="25"/>
        <v>99.99999999999999</v>
      </c>
      <c r="F56" s="12">
        <f t="shared" si="25"/>
        <v>100</v>
      </c>
      <c r="G56" s="12">
        <f t="shared" si="25"/>
        <v>100.00000000000001</v>
      </c>
      <c r="H56" s="12">
        <f t="shared" si="25"/>
        <v>100</v>
      </c>
      <c r="I56" s="12">
        <f t="shared" si="25"/>
        <v>100.00000000000003</v>
      </c>
      <c r="J56" s="12">
        <f t="shared" si="25"/>
        <v>100</v>
      </c>
    </row>
    <row r="57" spans="1:10" ht="12.75">
      <c r="A57" s="8" t="s">
        <v>19</v>
      </c>
      <c r="B57" s="8"/>
      <c r="D57" s="9"/>
      <c r="E57" s="9"/>
      <c r="F57" s="9"/>
      <c r="G57" s="9"/>
      <c r="H57" s="9"/>
      <c r="I57" s="9"/>
      <c r="J57" s="10" t="s">
        <v>18</v>
      </c>
    </row>
    <row r="58" spans="4:10" ht="12.75">
      <c r="D58" s="9"/>
      <c r="E58" s="9"/>
      <c r="F58" s="9"/>
      <c r="G58" s="9"/>
      <c r="H58" s="9"/>
      <c r="I58" s="9"/>
      <c r="J58" s="10" t="s">
        <v>31</v>
      </c>
    </row>
    <row r="59" ht="15.75">
      <c r="A59" s="1" t="s">
        <v>122</v>
      </c>
    </row>
    <row r="60" spans="1:10" ht="15">
      <c r="A60" s="254" t="s">
        <v>123</v>
      </c>
      <c r="B60" s="256" t="s">
        <v>28</v>
      </c>
      <c r="C60" s="256"/>
      <c r="D60" s="256"/>
      <c r="E60" s="256"/>
      <c r="F60" s="256"/>
      <c r="G60" s="256"/>
      <c r="H60" s="256"/>
      <c r="I60" s="256"/>
      <c r="J60" s="256"/>
    </row>
    <row r="61" spans="1:10" ht="15">
      <c r="A61" s="255"/>
      <c r="B61" s="2" t="s">
        <v>97</v>
      </c>
      <c r="C61" s="2" t="s">
        <v>22</v>
      </c>
      <c r="D61" s="2" t="s">
        <v>23</v>
      </c>
      <c r="E61" s="2" t="s">
        <v>24</v>
      </c>
      <c r="F61" s="2" t="s">
        <v>25</v>
      </c>
      <c r="G61" s="2" t="s">
        <v>26</v>
      </c>
      <c r="H61" s="2" t="s">
        <v>27</v>
      </c>
      <c r="I61" s="2" t="s">
        <v>29</v>
      </c>
      <c r="J61" s="2" t="s">
        <v>20</v>
      </c>
    </row>
    <row r="62" spans="1:10" ht="15">
      <c r="A62" s="67" t="s">
        <v>98</v>
      </c>
      <c r="B62" s="76">
        <f>(B4/J4)*100</f>
        <v>16.323036558975048</v>
      </c>
      <c r="C62" s="76">
        <f>(C4/J4)*100</f>
        <v>11.249210027385717</v>
      </c>
      <c r="D62" s="76">
        <f>(D4/J4)*100</f>
        <v>28.55851542601069</v>
      </c>
      <c r="E62" s="76">
        <f>(E4/J4)*100</f>
        <v>23.518011375605646</v>
      </c>
      <c r="F62" s="76">
        <f>(F4/J4)*100</f>
        <v>12.154662274738111</v>
      </c>
      <c r="G62" s="76">
        <f>(G4/J4)*100</f>
        <v>4.712641476913649</v>
      </c>
      <c r="H62" s="76">
        <f>(H4/J4)*100</f>
        <v>2.598770515349407</v>
      </c>
      <c r="I62" s="76">
        <f>(I4/J4)*100</f>
        <v>0.8851523450217361</v>
      </c>
      <c r="J62" s="79">
        <f>I62+H62+G62+F62+E62+D62+C62+B62</f>
        <v>100</v>
      </c>
    </row>
    <row r="63" spans="1:10" ht="15">
      <c r="A63" s="68" t="s">
        <v>99</v>
      </c>
      <c r="B63" s="77">
        <f aca="true" t="shared" si="26" ref="B63:B85">(B5/J5)*100</f>
        <v>16.613153006680502</v>
      </c>
      <c r="C63" s="77">
        <f aca="true" t="shared" si="27" ref="C63:C85">(C5/J5)*100</f>
        <v>11.501273882457662</v>
      </c>
      <c r="D63" s="77">
        <f aca="true" t="shared" si="28" ref="D63:D85">(D5/J5)*100</f>
        <v>26.67659734868956</v>
      </c>
      <c r="E63" s="77">
        <f aca="true" t="shared" si="29" ref="E63:E85">(E5/J5)*100</f>
        <v>23.282302343852894</v>
      </c>
      <c r="F63" s="77">
        <f aca="true" t="shared" si="30" ref="F63:F85">(F5/J5)*100</f>
        <v>13.123032975616844</v>
      </c>
      <c r="G63" s="77">
        <f aca="true" t="shared" si="31" ref="G63:G85">(G5/J5)*100</f>
        <v>5.0251370388704455</v>
      </c>
      <c r="H63" s="77">
        <f aca="true" t="shared" si="32" ref="H63:H85">(H5/J5)*100</f>
        <v>2.7871004073698984</v>
      </c>
      <c r="I63" s="77">
        <f aca="true" t="shared" si="33" ref="I63:I85">(I5/J5)*100</f>
        <v>0.9914029964621947</v>
      </c>
      <c r="J63" s="80">
        <f aca="true" t="shared" si="34" ref="J63:J85">I63+H63+G63+F63+E63+D63+C63+B63</f>
        <v>100</v>
      </c>
    </row>
    <row r="64" spans="1:10" ht="15">
      <c r="A64" s="68" t="s">
        <v>100</v>
      </c>
      <c r="B64" s="77">
        <f t="shared" si="26"/>
        <v>6.551465063861758</v>
      </c>
      <c r="C64" s="77">
        <f t="shared" si="27"/>
        <v>7.362885048835461</v>
      </c>
      <c r="D64" s="77">
        <f t="shared" si="28"/>
        <v>34.18482344102179</v>
      </c>
      <c r="E64" s="77">
        <f t="shared" si="29"/>
        <v>22.61457550713749</v>
      </c>
      <c r="F64" s="77">
        <f t="shared" si="30"/>
        <v>14.01953418482344</v>
      </c>
      <c r="G64" s="77">
        <f t="shared" si="31"/>
        <v>9.166040570999249</v>
      </c>
      <c r="H64" s="77">
        <f t="shared" si="32"/>
        <v>5.229151014274981</v>
      </c>
      <c r="I64" s="77">
        <f t="shared" si="33"/>
        <v>0.8715251690458302</v>
      </c>
      <c r="J64" s="80">
        <f t="shared" si="34"/>
        <v>100</v>
      </c>
    </row>
    <row r="65" spans="1:10" ht="15">
      <c r="A65" s="68" t="s">
        <v>101</v>
      </c>
      <c r="B65" s="77">
        <f t="shared" si="26"/>
        <v>16.35657329789409</v>
      </c>
      <c r="C65" s="77">
        <f t="shared" si="27"/>
        <v>10.383503227502409</v>
      </c>
      <c r="D65" s="77">
        <f t="shared" si="28"/>
        <v>39.56830329760201</v>
      </c>
      <c r="E65" s="77">
        <f t="shared" si="29"/>
        <v>25.209568595379267</v>
      </c>
      <c r="F65" s="77">
        <f t="shared" si="30"/>
        <v>5.564155737944329</v>
      </c>
      <c r="G65" s="77">
        <f t="shared" si="31"/>
        <v>1.837193679352747</v>
      </c>
      <c r="H65" s="77">
        <f t="shared" si="32"/>
        <v>0.8762449981014692</v>
      </c>
      <c r="I65" s="77">
        <f t="shared" si="33"/>
        <v>0.20445716622367613</v>
      </c>
      <c r="J65" s="80">
        <f t="shared" si="34"/>
        <v>99.99999999999999</v>
      </c>
    </row>
    <row r="66" spans="1:10" ht="15">
      <c r="A66" s="73" t="s">
        <v>102</v>
      </c>
      <c r="B66" s="78">
        <f t="shared" si="26"/>
        <v>16.769454861003503</v>
      </c>
      <c r="C66" s="78">
        <f t="shared" si="27"/>
        <v>10.078408280906189</v>
      </c>
      <c r="D66" s="78">
        <f t="shared" si="28"/>
        <v>39.10186878234729</v>
      </c>
      <c r="E66" s="78">
        <f t="shared" si="29"/>
        <v>25.459447732977964</v>
      </c>
      <c r="F66" s="78">
        <f t="shared" si="30"/>
        <v>5.631140174171755</v>
      </c>
      <c r="G66" s="78">
        <f t="shared" si="31"/>
        <v>1.878079771903183</v>
      </c>
      <c r="H66" s="78">
        <f t="shared" si="32"/>
        <v>0.8801561967335049</v>
      </c>
      <c r="I66" s="78">
        <f t="shared" si="33"/>
        <v>0.201444199956612</v>
      </c>
      <c r="J66" s="81">
        <f t="shared" si="34"/>
        <v>100</v>
      </c>
    </row>
    <row r="67" spans="1:10" ht="15">
      <c r="A67" s="3" t="s">
        <v>103</v>
      </c>
      <c r="B67" s="62">
        <f t="shared" si="26"/>
        <v>19.324211114213906</v>
      </c>
      <c r="C67" s="62">
        <f t="shared" si="27"/>
        <v>9.648142976822117</v>
      </c>
      <c r="D67" s="62">
        <f t="shared" si="28"/>
        <v>31.913804337708275</v>
      </c>
      <c r="E67" s="62">
        <f t="shared" si="29"/>
        <v>28.641906357628223</v>
      </c>
      <c r="F67" s="62">
        <f t="shared" si="30"/>
        <v>6.469328865307642</v>
      </c>
      <c r="G67" s="62">
        <f t="shared" si="31"/>
        <v>2.5644605789816626</v>
      </c>
      <c r="H67" s="62">
        <f t="shared" si="32"/>
        <v>1.2054360979242296</v>
      </c>
      <c r="I67" s="62">
        <f t="shared" si="33"/>
        <v>0.23270967141394397</v>
      </c>
      <c r="J67" s="63">
        <f t="shared" si="34"/>
        <v>100</v>
      </c>
    </row>
    <row r="68" spans="1:10" ht="15">
      <c r="A68" s="3" t="s">
        <v>104</v>
      </c>
      <c r="B68" s="62">
        <f t="shared" si="26"/>
        <v>11.677951952509044</v>
      </c>
      <c r="C68" s="62">
        <f t="shared" si="27"/>
        <v>10.935905760133569</v>
      </c>
      <c r="D68" s="62">
        <f t="shared" si="28"/>
        <v>53.427325851034226</v>
      </c>
      <c r="E68" s="62">
        <f t="shared" si="29"/>
        <v>19.116965031073185</v>
      </c>
      <c r="F68" s="62">
        <f t="shared" si="30"/>
        <v>3.9606715518041</v>
      </c>
      <c r="G68" s="62">
        <f t="shared" si="31"/>
        <v>0.5101567572581394</v>
      </c>
      <c r="H68" s="62">
        <f t="shared" si="32"/>
        <v>0.23188943511733606</v>
      </c>
      <c r="I68" s="62">
        <f t="shared" si="33"/>
        <v>0.13913366107040165</v>
      </c>
      <c r="J68" s="63">
        <f t="shared" si="34"/>
        <v>100</v>
      </c>
    </row>
    <row r="69" spans="1:10" ht="15">
      <c r="A69" s="73" t="s">
        <v>105</v>
      </c>
      <c r="B69" s="78">
        <f t="shared" si="26"/>
        <v>9.593908629441625</v>
      </c>
      <c r="C69" s="78">
        <f t="shared" si="27"/>
        <v>15.380710659898478</v>
      </c>
      <c r="D69" s="78">
        <f t="shared" si="28"/>
        <v>47.20812182741117</v>
      </c>
      <c r="E69" s="78">
        <f t="shared" si="29"/>
        <v>21.116751269035532</v>
      </c>
      <c r="F69" s="78">
        <f t="shared" si="30"/>
        <v>4.467005076142132</v>
      </c>
      <c r="G69" s="78">
        <f t="shared" si="31"/>
        <v>1.16751269035533</v>
      </c>
      <c r="H69" s="78">
        <f t="shared" si="32"/>
        <v>0.8121827411167513</v>
      </c>
      <c r="I69" s="78">
        <f t="shared" si="33"/>
        <v>0.25380710659898476</v>
      </c>
      <c r="J69" s="81">
        <f t="shared" si="34"/>
        <v>100.00000000000001</v>
      </c>
    </row>
    <row r="70" spans="1:10" ht="15">
      <c r="A70" s="67" t="s">
        <v>106</v>
      </c>
      <c r="B70" s="76">
        <f t="shared" si="26"/>
        <v>5.30437878248487</v>
      </c>
      <c r="C70" s="76">
        <f t="shared" si="27"/>
        <v>8.04556781772873</v>
      </c>
      <c r="D70" s="76">
        <f t="shared" si="28"/>
        <v>54.663581345674615</v>
      </c>
      <c r="E70" s="76">
        <f t="shared" si="29"/>
        <v>21.342114631541474</v>
      </c>
      <c r="F70" s="76">
        <f t="shared" si="30"/>
        <v>7.60056959772161</v>
      </c>
      <c r="G70" s="76">
        <f t="shared" si="31"/>
        <v>1.957992168031328</v>
      </c>
      <c r="H70" s="76">
        <f t="shared" si="32"/>
        <v>0.8543965824136703</v>
      </c>
      <c r="I70" s="76">
        <f t="shared" si="33"/>
        <v>0.2313990744037024</v>
      </c>
      <c r="J70" s="79">
        <f t="shared" si="34"/>
        <v>100</v>
      </c>
    </row>
    <row r="71" spans="1:10" ht="15">
      <c r="A71" s="3" t="s">
        <v>107</v>
      </c>
      <c r="B71" s="62">
        <f t="shared" si="26"/>
        <v>6.435643564356436</v>
      </c>
      <c r="C71" s="62">
        <f t="shared" si="27"/>
        <v>12.128712871287128</v>
      </c>
      <c r="D71" s="62">
        <f t="shared" si="28"/>
        <v>37.12871287128713</v>
      </c>
      <c r="E71" s="62">
        <f t="shared" si="29"/>
        <v>36.88118811881188</v>
      </c>
      <c r="F71" s="62">
        <f t="shared" si="30"/>
        <v>5.693069306930694</v>
      </c>
      <c r="G71" s="62">
        <f t="shared" si="31"/>
        <v>0.49504950495049505</v>
      </c>
      <c r="H71" s="62">
        <f t="shared" si="32"/>
        <v>0.9900990099009901</v>
      </c>
      <c r="I71" s="62">
        <f t="shared" si="33"/>
        <v>0.24752475247524752</v>
      </c>
      <c r="J71" s="63">
        <f t="shared" si="34"/>
        <v>100</v>
      </c>
    </row>
    <row r="72" spans="1:10" ht="15">
      <c r="A72" s="3" t="s">
        <v>108</v>
      </c>
      <c r="B72" s="62">
        <f t="shared" si="26"/>
        <v>7.450980392156863</v>
      </c>
      <c r="C72" s="62">
        <f t="shared" si="27"/>
        <v>8.30065359477124</v>
      </c>
      <c r="D72" s="62">
        <f t="shared" si="28"/>
        <v>29.215686274509807</v>
      </c>
      <c r="E72" s="62">
        <f t="shared" si="29"/>
        <v>31.372549019607842</v>
      </c>
      <c r="F72" s="62">
        <f t="shared" si="30"/>
        <v>16.013071895424837</v>
      </c>
      <c r="G72" s="62">
        <f t="shared" si="31"/>
        <v>4.705882352941177</v>
      </c>
      <c r="H72" s="62">
        <f t="shared" si="32"/>
        <v>2.549019607843137</v>
      </c>
      <c r="I72" s="62">
        <f t="shared" si="33"/>
        <v>0.39215686274509803</v>
      </c>
      <c r="J72" s="63">
        <f t="shared" si="34"/>
        <v>100.00000000000001</v>
      </c>
    </row>
    <row r="73" spans="1:10" ht="15">
      <c r="A73" s="3" t="s">
        <v>109</v>
      </c>
      <c r="B73" s="62">
        <f t="shared" si="26"/>
        <v>4.288816503800217</v>
      </c>
      <c r="C73" s="62">
        <f t="shared" si="27"/>
        <v>7.491856677524431</v>
      </c>
      <c r="D73" s="62">
        <f t="shared" si="28"/>
        <v>67.15526601520087</v>
      </c>
      <c r="E73" s="62">
        <f t="shared" si="29"/>
        <v>15.472312703583063</v>
      </c>
      <c r="F73" s="62">
        <f t="shared" si="30"/>
        <v>4.315960912052117</v>
      </c>
      <c r="G73" s="62">
        <f t="shared" si="31"/>
        <v>0.9771986970684038</v>
      </c>
      <c r="H73" s="62">
        <f t="shared" si="32"/>
        <v>0.13572204125950055</v>
      </c>
      <c r="I73" s="62">
        <f t="shared" si="33"/>
        <v>0.16286644951140067</v>
      </c>
      <c r="J73" s="63">
        <f t="shared" si="34"/>
        <v>99.99999999999999</v>
      </c>
    </row>
    <row r="74" spans="1:10" ht="15">
      <c r="A74" s="67" t="s">
        <v>110</v>
      </c>
      <c r="B74" s="76">
        <f t="shared" si="26"/>
        <v>9.332181212196025</v>
      </c>
      <c r="C74" s="76">
        <f t="shared" si="27"/>
        <v>16.195531415874584</v>
      </c>
      <c r="D74" s="76">
        <f t="shared" si="28"/>
        <v>37.785458585359834</v>
      </c>
      <c r="E74" s="76">
        <f t="shared" si="29"/>
        <v>24.959881496111592</v>
      </c>
      <c r="F74" s="76">
        <f t="shared" si="30"/>
        <v>8.29527218861869</v>
      </c>
      <c r="G74" s="76">
        <f t="shared" si="31"/>
        <v>2.184915442537958</v>
      </c>
      <c r="H74" s="76">
        <f t="shared" si="32"/>
        <v>0.9875324034069868</v>
      </c>
      <c r="I74" s="76">
        <f t="shared" si="33"/>
        <v>0.25922725589433404</v>
      </c>
      <c r="J74" s="79">
        <f t="shared" si="34"/>
        <v>100</v>
      </c>
    </row>
    <row r="75" spans="1:10" ht="15">
      <c r="A75" s="3" t="s">
        <v>111</v>
      </c>
      <c r="B75" s="62">
        <f t="shared" si="26"/>
        <v>8.202443280977311</v>
      </c>
      <c r="C75" s="62">
        <f t="shared" si="27"/>
        <v>21.465968586387437</v>
      </c>
      <c r="D75" s="62">
        <f t="shared" si="28"/>
        <v>40.66317626527051</v>
      </c>
      <c r="E75" s="62">
        <f t="shared" si="29"/>
        <v>17.975567190226876</v>
      </c>
      <c r="F75" s="62">
        <f t="shared" si="30"/>
        <v>4.712041884816754</v>
      </c>
      <c r="G75" s="62">
        <f t="shared" si="31"/>
        <v>3.4904013961605584</v>
      </c>
      <c r="H75" s="62">
        <f t="shared" si="32"/>
        <v>2.966841186736475</v>
      </c>
      <c r="I75" s="62">
        <f t="shared" si="33"/>
        <v>0.5235602094240838</v>
      </c>
      <c r="J75" s="63">
        <f t="shared" si="34"/>
        <v>100</v>
      </c>
    </row>
    <row r="76" spans="1:10" ht="15">
      <c r="A76" s="3" t="s">
        <v>112</v>
      </c>
      <c r="B76" s="62">
        <f t="shared" si="26"/>
        <v>6.803685329553508</v>
      </c>
      <c r="C76" s="62">
        <f t="shared" si="27"/>
        <v>13.749114103472715</v>
      </c>
      <c r="D76" s="62">
        <f t="shared" si="28"/>
        <v>37.632884479092844</v>
      </c>
      <c r="E76" s="62">
        <f t="shared" si="29"/>
        <v>31.537916371367825</v>
      </c>
      <c r="F76" s="62">
        <f t="shared" si="30"/>
        <v>7.866761162296244</v>
      </c>
      <c r="G76" s="62">
        <f t="shared" si="31"/>
        <v>1.559177888022679</v>
      </c>
      <c r="H76" s="62">
        <f t="shared" si="32"/>
        <v>0.6378454996456413</v>
      </c>
      <c r="I76" s="62">
        <f t="shared" si="33"/>
        <v>0.21261516654854712</v>
      </c>
      <c r="J76" s="63">
        <f t="shared" si="34"/>
        <v>100</v>
      </c>
    </row>
    <row r="77" spans="1:10" ht="15">
      <c r="A77" s="3" t="s">
        <v>113</v>
      </c>
      <c r="B77" s="62">
        <f t="shared" si="26"/>
        <v>11.519918802334434</v>
      </c>
      <c r="C77" s="62">
        <f t="shared" si="27"/>
        <v>17.939609236234457</v>
      </c>
      <c r="D77" s="62">
        <f t="shared" si="28"/>
        <v>41.03019538188277</v>
      </c>
      <c r="E77" s="62">
        <f t="shared" si="29"/>
        <v>20.24866785079929</v>
      </c>
      <c r="F77" s="62">
        <f t="shared" si="30"/>
        <v>5.658462319208322</v>
      </c>
      <c r="G77" s="62">
        <f t="shared" si="31"/>
        <v>2.232935803095661</v>
      </c>
      <c r="H77" s="62">
        <f t="shared" si="32"/>
        <v>1.1418421720375538</v>
      </c>
      <c r="I77" s="62">
        <f t="shared" si="33"/>
        <v>0.2283684344075108</v>
      </c>
      <c r="J77" s="63">
        <f t="shared" si="34"/>
        <v>100</v>
      </c>
    </row>
    <row r="78" spans="1:10" ht="15">
      <c r="A78" s="3" t="s">
        <v>114</v>
      </c>
      <c r="B78" s="62">
        <f t="shared" si="26"/>
        <v>7.388235294117647</v>
      </c>
      <c r="C78" s="62">
        <f t="shared" si="27"/>
        <v>12.75294117647059</v>
      </c>
      <c r="D78" s="62">
        <f t="shared" si="28"/>
        <v>30.917647058823526</v>
      </c>
      <c r="E78" s="62">
        <f t="shared" si="29"/>
        <v>31.43529411764706</v>
      </c>
      <c r="F78" s="62">
        <f t="shared" si="30"/>
        <v>14.588235294117647</v>
      </c>
      <c r="G78" s="62">
        <f t="shared" si="31"/>
        <v>2.211764705882353</v>
      </c>
      <c r="H78" s="62">
        <f t="shared" si="32"/>
        <v>0.4235294117647058</v>
      </c>
      <c r="I78" s="62">
        <f t="shared" si="33"/>
        <v>0.2823529411764706</v>
      </c>
      <c r="J78" s="63">
        <f t="shared" si="34"/>
        <v>100</v>
      </c>
    </row>
    <row r="79" spans="1:10" ht="15">
      <c r="A79" s="3" t="s">
        <v>115</v>
      </c>
      <c r="B79" s="62">
        <f t="shared" si="26"/>
        <v>3.9215686274509802</v>
      </c>
      <c r="C79" s="62">
        <f t="shared" si="27"/>
        <v>33.33333333333333</v>
      </c>
      <c r="D79" s="62">
        <f t="shared" si="28"/>
        <v>45.09803921568628</v>
      </c>
      <c r="E79" s="62">
        <f t="shared" si="29"/>
        <v>15.686274509803921</v>
      </c>
      <c r="F79" s="62">
        <f t="shared" si="30"/>
        <v>1.9607843137254901</v>
      </c>
      <c r="G79" s="62">
        <f t="shared" si="31"/>
        <v>0</v>
      </c>
      <c r="H79" s="62">
        <f t="shared" si="32"/>
        <v>0</v>
      </c>
      <c r="I79" s="62">
        <f t="shared" si="33"/>
        <v>0</v>
      </c>
      <c r="J79" s="63">
        <f t="shared" si="34"/>
        <v>100</v>
      </c>
    </row>
    <row r="80" spans="1:10" ht="15">
      <c r="A80" s="67" t="s">
        <v>116</v>
      </c>
      <c r="B80" s="76">
        <f t="shared" si="26"/>
        <v>9.069174370417596</v>
      </c>
      <c r="C80" s="76">
        <f t="shared" si="27"/>
        <v>8.559132929550525</v>
      </c>
      <c r="D80" s="76">
        <f t="shared" si="28"/>
        <v>39.49633407714377</v>
      </c>
      <c r="E80" s="76">
        <f t="shared" si="29"/>
        <v>28.721708638826904</v>
      </c>
      <c r="F80" s="76">
        <f t="shared" si="30"/>
        <v>9.88205291679949</v>
      </c>
      <c r="G80" s="76">
        <f t="shared" si="31"/>
        <v>2.661778769525024</v>
      </c>
      <c r="H80" s="76">
        <f t="shared" si="32"/>
        <v>1.1316544469238126</v>
      </c>
      <c r="I80" s="76">
        <f t="shared" si="33"/>
        <v>0.4781638508128785</v>
      </c>
      <c r="J80" s="79">
        <f t="shared" si="34"/>
        <v>100</v>
      </c>
    </row>
    <row r="81" spans="1:10" ht="15">
      <c r="A81" s="3" t="s">
        <v>117</v>
      </c>
      <c r="B81" s="62">
        <f t="shared" si="26"/>
        <v>9.980478282088825</v>
      </c>
      <c r="C81" s="62">
        <f t="shared" si="27"/>
        <v>8.272327964860908</v>
      </c>
      <c r="D81" s="62">
        <f t="shared" si="28"/>
        <v>34.89507076622743</v>
      </c>
      <c r="E81" s="62">
        <f t="shared" si="29"/>
        <v>29.380185456320156</v>
      </c>
      <c r="F81" s="62">
        <f t="shared" si="30"/>
        <v>12.127867252318204</v>
      </c>
      <c r="G81" s="62">
        <f t="shared" si="31"/>
        <v>3.22108345534407</v>
      </c>
      <c r="H81" s="62">
        <f t="shared" si="32"/>
        <v>1.488530990727184</v>
      </c>
      <c r="I81" s="62">
        <f t="shared" si="33"/>
        <v>0.634455832113226</v>
      </c>
      <c r="J81" s="63">
        <f t="shared" si="34"/>
        <v>100</v>
      </c>
    </row>
    <row r="82" spans="1:10" ht="15">
      <c r="A82" s="3" t="s">
        <v>118</v>
      </c>
      <c r="B82" s="62">
        <f t="shared" si="26"/>
        <v>7.352941176470589</v>
      </c>
      <c r="C82" s="62">
        <f t="shared" si="27"/>
        <v>9.099264705882353</v>
      </c>
      <c r="D82" s="62">
        <f t="shared" si="28"/>
        <v>48.161764705882355</v>
      </c>
      <c r="E82" s="62">
        <f t="shared" si="29"/>
        <v>27.481617647058826</v>
      </c>
      <c r="F82" s="62">
        <f t="shared" si="30"/>
        <v>5.6525735294117645</v>
      </c>
      <c r="G82" s="62">
        <f t="shared" si="31"/>
        <v>1.6084558823529411</v>
      </c>
      <c r="H82" s="62">
        <f t="shared" si="32"/>
        <v>0.4595588235294118</v>
      </c>
      <c r="I82" s="62">
        <f t="shared" si="33"/>
        <v>0.1838235294117647</v>
      </c>
      <c r="J82" s="63">
        <f t="shared" si="34"/>
        <v>100.00000000000001</v>
      </c>
    </row>
    <row r="83" spans="1:10" ht="15">
      <c r="A83" s="67" t="s">
        <v>119</v>
      </c>
      <c r="B83" s="76">
        <f t="shared" si="26"/>
        <v>4.33328486258543</v>
      </c>
      <c r="C83" s="76">
        <f t="shared" si="27"/>
        <v>7.503271775483496</v>
      </c>
      <c r="D83" s="76">
        <f t="shared" si="28"/>
        <v>64.09771702777374</v>
      </c>
      <c r="E83" s="76">
        <f t="shared" si="29"/>
        <v>19.67427657408754</v>
      </c>
      <c r="F83" s="76">
        <f t="shared" si="30"/>
        <v>3.111822015413698</v>
      </c>
      <c r="G83" s="76">
        <f t="shared" si="31"/>
        <v>0.8579322378944307</v>
      </c>
      <c r="H83" s="76">
        <f t="shared" si="32"/>
        <v>0.3053657117929329</v>
      </c>
      <c r="I83" s="76">
        <f t="shared" si="33"/>
        <v>0.11632979496873637</v>
      </c>
      <c r="J83" s="79">
        <f t="shared" si="34"/>
        <v>100</v>
      </c>
    </row>
    <row r="84" spans="1:10" ht="15">
      <c r="A84" s="67" t="s">
        <v>120</v>
      </c>
      <c r="B84" s="76">
        <f t="shared" si="26"/>
        <v>33.970588235294116</v>
      </c>
      <c r="C84" s="76">
        <f t="shared" si="27"/>
        <v>8.792016806722689</v>
      </c>
      <c r="D84" s="76">
        <f t="shared" si="28"/>
        <v>7.232142857142858</v>
      </c>
      <c r="E84" s="76">
        <f t="shared" si="29"/>
        <v>12.52626050420168</v>
      </c>
      <c r="F84" s="76">
        <f t="shared" si="30"/>
        <v>12.762605042016805</v>
      </c>
      <c r="G84" s="76">
        <f t="shared" si="31"/>
        <v>8.602941176470589</v>
      </c>
      <c r="H84" s="76">
        <f t="shared" si="32"/>
        <v>9.233193277310924</v>
      </c>
      <c r="I84" s="76">
        <f t="shared" si="33"/>
        <v>6.880252100840337</v>
      </c>
      <c r="J84" s="79">
        <f t="shared" si="34"/>
        <v>99.99999999999999</v>
      </c>
    </row>
    <row r="85" spans="1:10" ht="15">
      <c r="A85" s="7" t="s">
        <v>20</v>
      </c>
      <c r="B85" s="62">
        <f t="shared" si="26"/>
        <v>16.614602843694524</v>
      </c>
      <c r="C85" s="62">
        <f t="shared" si="27"/>
        <v>11.029821332594993</v>
      </c>
      <c r="D85" s="62">
        <f t="shared" si="28"/>
        <v>28.976693431489114</v>
      </c>
      <c r="E85" s="62">
        <f t="shared" si="29"/>
        <v>22.854769621655077</v>
      </c>
      <c r="F85" s="62">
        <f t="shared" si="30"/>
        <v>11.758171957198</v>
      </c>
      <c r="G85" s="62">
        <f t="shared" si="31"/>
        <v>4.708545741787326</v>
      </c>
      <c r="H85" s="62">
        <f t="shared" si="32"/>
        <v>2.8544438834508705</v>
      </c>
      <c r="I85" s="62">
        <f t="shared" si="33"/>
        <v>1.2029511881300998</v>
      </c>
      <c r="J85" s="63">
        <f t="shared" si="34"/>
        <v>100</v>
      </c>
    </row>
    <row r="86" spans="1:10" ht="12.75">
      <c r="A86" s="8" t="s">
        <v>19</v>
      </c>
      <c r="B86" s="8"/>
      <c r="D86" s="9"/>
      <c r="E86" s="9"/>
      <c r="F86" s="9"/>
      <c r="G86" s="9"/>
      <c r="H86" s="9"/>
      <c r="I86" s="9"/>
      <c r="J86" s="10" t="s">
        <v>18</v>
      </c>
    </row>
    <row r="87" spans="4:10" ht="12.75">
      <c r="D87" s="9"/>
      <c r="E87" s="9"/>
      <c r="F87" s="9"/>
      <c r="G87" s="9"/>
      <c r="H87" s="9"/>
      <c r="I87" s="9"/>
      <c r="J87" s="10" t="s">
        <v>31</v>
      </c>
    </row>
  </sheetData>
  <sheetProtection/>
  <mergeCells count="5">
    <mergeCell ref="A60:A61"/>
    <mergeCell ref="B60:J60"/>
    <mergeCell ref="A2:A3"/>
    <mergeCell ref="B2:J2"/>
    <mergeCell ref="B31:J31"/>
  </mergeCells>
  <printOptions/>
  <pageMargins left="0.25" right="0.25" top="0.25" bottom="0.43" header="0.25" footer="0.25"/>
  <pageSetup horizontalDpi="300" verticalDpi="300" orientation="landscape" paperSize="9" scale="64" r:id="rId2"/>
  <headerFooter alignWithMargins="0">
    <oddFooter>&amp;L2011 Census Detailed Characteristics - Cultural Characteristics - &amp;A &amp;R&amp;P</oddFooter>
  </headerFooter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Wandsworth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sbansal</dc:creator>
  <cp:keywords/>
  <dc:description/>
  <cp:lastModifiedBy>Nicolaou, Stefan</cp:lastModifiedBy>
  <cp:lastPrinted>2013-09-11T13:33:59Z</cp:lastPrinted>
  <dcterms:created xsi:type="dcterms:W3CDTF">2013-09-09T10:15:09Z</dcterms:created>
  <dcterms:modified xsi:type="dcterms:W3CDTF">2013-09-11T15:21:19Z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